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_johannes\Projekte; F&amp;E\Nahwärmeverbund 4.0 - ACR strat. Projekt\anonymisierte Daten\"/>
    </mc:Choice>
  </mc:AlternateContent>
  <xr:revisionPtr revIDLastSave="0" documentId="13_ncr:1_{A68C6A59-A7B1-4B06-B58C-DBDB4E620B23}" xr6:coauthVersionLast="47" xr6:coauthVersionMax="47" xr10:uidLastSave="{00000000-0000-0000-0000-000000000000}"/>
  <bookViews>
    <workbookView xWindow="-120" yWindow="-120" windowWidth="38640" windowHeight="21240" tabRatio="848" xr2:uid="{00000000-000D-0000-FFFF-FFFF00000000}"/>
  </bookViews>
  <sheets>
    <sheet name="Auswertung" sheetId="4" r:id="rId1"/>
    <sheet name="Emissionen_Datenbereich" sheetId="16" r:id="rId2"/>
    <sheet name="Diagr_Temp." sheetId="17" r:id="rId3"/>
  </sheets>
  <definedNames>
    <definedName name="AuswertungDruckmessung">#REF!</definedName>
    <definedName name="Beschriftung">OFFSET(Auswertung!$A$10,(Auswertung!$N$20-10),0,Auswertung!$N$22)</definedName>
    <definedName name="Beschriftung_Druckverlauf_Diagramm">OFFSET(#REF!,(Auswertung!$N$20-10+#REF!),0,Auswertung!$N$22)</definedName>
    <definedName name="Datenbereich_Druckverlauf_Pa">OFFSET(#REF!,(Auswertung!$N$20-10+#REF!),0,Auswertung!$N$22)</definedName>
    <definedName name="Datenbereich_Emissionen_CO">OFFSET(Auswertung!$D$10,(Auswertung!$N$20-10),0,Auswertung!$N$22)</definedName>
    <definedName name="Datenbereich_Emissionen_COzwei">OFFSET(Auswertung!$C$10,(Auswertung!$N$20-10),0,Auswertung!$N$22)</definedName>
    <definedName name="Datenbereich_Emissionen_NO">OFFSET(Auswertung!$E$10,(Auswertung!$N$20-10),0,Auswertung!$N$22)</definedName>
    <definedName name="Datenbereich_Emissionen_OGC">OFFSET(Auswertung!$F$10,(Auswertung!$N$20-10),0,Auswertung!$N$22)</definedName>
    <definedName name="Datenbereich_Emissionen_Temp_Abgas">OFFSET(Auswertung!$G$10,(Auswertung!$N$20-10),0,Auswertung!$N$22)</definedName>
    <definedName name="Datenbereich_Emissionen_Temp_Raum">OFFSET(Auswertung!$H$10,(Auswertung!$N$20-10),0,Auswertung!$N$22)</definedName>
    <definedName name="Datenbereich_Emissionen_Temp_Ruecklauf">OFFSET(Auswertung!#REF!,(Auswertung!$N$20-10),0,Auswertung!$N$22)</definedName>
    <definedName name="Datenbereich_Emissionen_Temp_Vorlauf">OFFSET(Auswertung!#REF!,(Auswertung!$N$20-10),0,Auswertung!$N$22)</definedName>
    <definedName name="Datenbereich_Temp_SpalteAA">OFFSET(#REF!,(Auswertung!$N$20-10),0,Auswertung!$N$22)</definedName>
    <definedName name="Datenbereich_Temp_SpalteAB">OFFSET(#REF!,(Auswertung!$N$20-10),0,Auswertung!$N$22)</definedName>
    <definedName name="Datenbereich_Temp_SpalteAC">OFFSET(#REF!,(Auswertung!$N$20-10),0,Auswertung!$N$22)</definedName>
    <definedName name="Datenbereich_Temp_SpalteAD">OFFSET(#REF!,(Auswertung!$N$20-10),0,Auswertung!$N$22)</definedName>
    <definedName name="Datenbereich_Temp_SpalteAE">OFFSET(#REF!,(Auswertung!$N$20-10),0,Auswertung!$N$22)</definedName>
    <definedName name="Datenbereich_Temp_SpalteAF">OFFSET(#REF!,(Auswertung!$N$20-10),0,Auswertung!$N$22)</definedName>
    <definedName name="Datenbereich_Temp_SpalteAG">OFFSET(#REF!,(Auswertung!$N$20-10),0,Auswertung!$N$22)</definedName>
    <definedName name="Datenbereich_Temp_SpalteAH">OFFSET(#REF!,(Auswertung!$N$20-10),0,Auswertung!$N$22)</definedName>
    <definedName name="Datenbereich_Temp_SpalteAI">OFFSET(#REF!,(Auswertung!$N$20-10),0,Auswertung!$N$22)</definedName>
    <definedName name="Datenbereich_Temp_SpalteAJ">OFFSET(#REF!,(Auswertung!$N$20-10),0,Auswertung!$N$22)</definedName>
    <definedName name="Datenbereich_Temp_SpalteAK">OFFSET(#REF!,(Auswertung!$N$20-10),0,Auswertung!$N$22)</definedName>
    <definedName name="Datenbereich_Temp_SpalteAL">OFFSET(#REF!,(Auswertung!$N$20-10),0,Auswertung!$N$22)</definedName>
    <definedName name="Datenbereich_Temp_SpalteAM">OFFSET(#REF!,(Auswertung!$N$20-10),0,Auswertung!$N$22)</definedName>
    <definedName name="Datenbereich_Temp_SpalteAN">OFFSET(#REF!,(Auswertung!$N$20-10),0,Auswertung!$N$22)</definedName>
    <definedName name="Datenbereich_Temp_SpalteAO">OFFSET(#REF!,(Auswertung!$N$20-10),0,Auswertung!$N$22)</definedName>
    <definedName name="Datenbereich_Temp_SpalteAP">OFFSET(#REF!,(Auswertung!$N$20-10),0,Auswertung!$N$22)</definedName>
    <definedName name="Datenbereich_Temp_SpalteAQ">OFFSET(#REF!,(Auswertung!$N$20-10),0,Auswertung!$N$22)</definedName>
    <definedName name="Datenbereich_Temp_SpalteAR">OFFSET(#REF!,(Auswertung!$N$20-10),0,Auswertung!$N$22)</definedName>
    <definedName name="Datenbereich_Temp_SpalteAS">OFFSET(#REF!,(Auswertung!$N$20-10),0,Auswertung!$N$22)</definedName>
    <definedName name="Datenbereich_Temp_SpalteAT">OFFSET(#REF!,(Auswertung!$N$20-10),0,Auswertung!$N$22)</definedName>
    <definedName name="Datenbereich_Temp_SpalteAU">OFFSET(#REF!,(Auswertung!$N$20-10),0,Auswertung!$N$22)</definedName>
    <definedName name="Datenbereich_Temp_SpalteAV">OFFSET(#REF!,(Auswertung!$N$20-10),0,Auswertung!$N$22)</definedName>
    <definedName name="Datenbereich_Temp_SpalteAW">OFFSET(#REF!,(Auswertung!$N$20-10),0,Auswertung!$N$22)</definedName>
    <definedName name="Datenbereich_Temp_SpalteAX">OFFSET(#REF!,(Auswertung!$N$20-10),0,Auswertung!$N$22)</definedName>
    <definedName name="Datenbereich_Temp_SpalteAY">OFFSET(#REF!,(Auswertung!$N$20-10),0,Auswertung!$N$22)</definedName>
    <definedName name="Datenbereich_Temp_SpalteAZ">OFFSET(#REF!,(Auswertung!$N$20-10),0,Auswertung!$N$22)</definedName>
    <definedName name="Datenbereich_Temp_SpalteB">OFFSET(#REF!,(Auswertung!$N$20-10),0,Auswertung!$N$22)</definedName>
    <definedName name="Datenbereich_Temp_SpalteBA">OFFSET(#REF!,(Auswertung!$N$20-10),0,Auswertung!$N$22)</definedName>
    <definedName name="Datenbereich_Temp_SpalteC">OFFSET(#REF!,(Auswertung!$N$20-10),0,Auswertung!$N$22)</definedName>
    <definedName name="Datenbereich_Temp_SpalteD">OFFSET(#REF!,(Auswertung!$N$20-10),0,Auswertung!$N$22)</definedName>
    <definedName name="Datenbereich_Temp_SpalteE">OFFSET(#REF!,(Auswertung!$N$20-10),0,Auswertung!$N$22)</definedName>
    <definedName name="Datenbereich_Temp_SpalteF">OFFSET(#REF!,(Auswertung!$N$20-10),0,Auswertung!$N$22)</definedName>
    <definedName name="Datenbereich_Temp_SpalteG">OFFSET(#REF!,(Auswertung!$N$20-10),0,Auswertung!$N$22)</definedName>
    <definedName name="Datenbereich_Temp_SpalteH">OFFSET(#REF!,(Auswertung!$N$20-10),0,Auswertung!$N$22)</definedName>
    <definedName name="Datenbereich_Temp_SpalteI">OFFSET(#REF!,(Auswertung!$N$20-10),0,Auswertung!$N$22)</definedName>
    <definedName name="Datenbereich_Temp_SpalteJ">OFFSET(#REF!,(Auswertung!$N$20-10),0,Auswertung!$N$22)</definedName>
    <definedName name="Datenbereich_Temp_SpalteK">OFFSET(#REF!,(Auswertung!$N$20-10),0,Auswertung!$N$22)</definedName>
    <definedName name="Datenbereich_Temp_SpalteL">OFFSET(#REF!,(Auswertung!$N$20-10),0,Auswertung!$N$22)</definedName>
    <definedName name="Datenbereich_Temp_SpalteM">OFFSET(#REF!,(Auswertung!$N$20-10),0,Auswertung!$N$22)</definedName>
    <definedName name="Datenbereich_Temp_SpalteN">OFFSET(#REF!,(Auswertung!$N$20-10),0,Auswertung!$N$22)</definedName>
    <definedName name="Datenbereich_Temp_SpalteO">OFFSET(#REF!,(Auswertung!$N$20-10),0,Auswertung!$N$22)</definedName>
    <definedName name="Datenbereich_Temp_SpalteP">OFFSET(#REF!,(Auswertung!$N$20-10),0,Auswertung!$N$22)</definedName>
    <definedName name="Datenbereich_Temp_SpalteQ">OFFSET(#REF!,(Auswertung!$N$20-10),0,Auswertung!$N$22)</definedName>
    <definedName name="Datenbereich_Temp_SpalteW">OFFSET(#REF!,(Auswertung!$N$20-10),0,Auswertung!$N$22)</definedName>
    <definedName name="Datenbereich_Temp_SpalteX">OFFSET(#REF!,(Auswertung!$N$20-10),0,Auswertung!$N$22)</definedName>
    <definedName name="Datenbereich_Temp_SpalteY">OFFSET(#REF!,(Auswertung!$N$20-10),0,Auswertung!$N$22)</definedName>
    <definedName name="Datenbereich_Temp_SpalteZ">OFFSET(#REF!,(Auswertung!$N$20-10),0,Auswertung!$N$22)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4" l="1"/>
  <c r="Q60" i="4" l="1"/>
  <c r="Q61" i="4" s="1"/>
  <c r="R60" i="4"/>
  <c r="R61" i="4" s="1"/>
  <c r="S60" i="4"/>
  <c r="S61" i="4" s="1"/>
  <c r="T60" i="4"/>
  <c r="T61" i="4" s="1"/>
  <c r="M59" i="4"/>
  <c r="N59" i="4" s="1"/>
  <c r="M60" i="4"/>
  <c r="N60" i="4" s="1"/>
  <c r="M58" i="4"/>
  <c r="N58" i="4" s="1"/>
  <c r="S54" i="4"/>
  <c r="M54" i="4"/>
  <c r="K4" i="4"/>
  <c r="P56" i="4"/>
  <c r="Q62" i="4" l="1"/>
  <c r="S62" i="4"/>
  <c r="N63" i="4"/>
  <c r="N62" i="4"/>
  <c r="N61" i="4"/>
  <c r="M61" i="4"/>
  <c r="M63" i="4"/>
  <c r="M62" i="4"/>
  <c r="U62" i="4" l="1"/>
  <c r="P70" i="4" s="1"/>
  <c r="J55" i="4" l="1"/>
  <c r="O70" i="4"/>
  <c r="T22" i="4" l="1"/>
  <c r="T21" i="4"/>
  <c r="T20" i="4"/>
  <c r="Q39" i="4" l="1"/>
  <c r="O72" i="4" l="1"/>
  <c r="O73" i="4"/>
  <c r="O74" i="4"/>
  <c r="O75" i="4"/>
  <c r="O76" i="4"/>
  <c r="O77" i="4"/>
  <c r="O71" i="4"/>
  <c r="P72" i="4"/>
  <c r="P73" i="4"/>
  <c r="P74" i="4"/>
  <c r="P75" i="4"/>
  <c r="P76" i="4"/>
  <c r="P77" i="4"/>
  <c r="P71" i="4"/>
  <c r="Q72" i="4"/>
  <c r="Q73" i="4"/>
  <c r="Q74" i="4"/>
  <c r="Q75" i="4"/>
  <c r="Q76" i="4"/>
  <c r="Q77" i="4"/>
  <c r="Q71" i="4"/>
  <c r="Y24" i="4" l="1"/>
  <c r="M78" i="4" l="1"/>
  <c r="L78" i="4"/>
  <c r="K78" i="4"/>
  <c r="T11" i="4" l="1"/>
  <c r="N22" i="4" l="1"/>
  <c r="K25" i="4" l="1"/>
  <c r="K33" i="4"/>
  <c r="K34" i="4" l="1"/>
  <c r="K45" i="4" l="1"/>
  <c r="M11" i="4" l="1"/>
  <c r="K46" i="4"/>
  <c r="T35" i="4" s="1"/>
  <c r="N37" i="4" l="1"/>
  <c r="M90" i="4"/>
  <c r="K39" i="4"/>
  <c r="K85" i="4" s="1"/>
  <c r="K93" i="4" l="1"/>
  <c r="L85" i="4"/>
  <c r="M93" i="4"/>
  <c r="R11" i="4"/>
  <c r="L93" i="4"/>
  <c r="K35" i="4" l="1"/>
  <c r="M92" i="4"/>
  <c r="M87" i="4"/>
  <c r="Q78" i="4"/>
  <c r="M83" i="4"/>
  <c r="M82" i="4" s="1"/>
  <c r="M85" i="4"/>
  <c r="K38" i="4"/>
  <c r="Q11" i="4" s="1"/>
  <c r="L88" i="4"/>
  <c r="L83" i="4"/>
  <c r="L87" i="4"/>
  <c r="P78" i="4"/>
  <c r="L92" i="4"/>
  <c r="K88" i="4"/>
  <c r="K90" i="4" s="1"/>
  <c r="K92" i="4"/>
  <c r="K87" i="4"/>
  <c r="K83" i="4"/>
  <c r="K82" i="4" s="1"/>
  <c r="O78" i="4"/>
  <c r="L82" i="4" l="1"/>
  <c r="L90" i="4"/>
  <c r="K15" i="4"/>
  <c r="L89" i="4"/>
  <c r="L91" i="4" s="1"/>
  <c r="N11" i="4"/>
  <c r="K89" i="4"/>
  <c r="K91" i="4" s="1"/>
  <c r="K16" i="4"/>
  <c r="M89" i="4"/>
  <c r="M91" i="4" s="1"/>
  <c r="S11" i="4" l="1"/>
  <c r="M15" i="4" s="1"/>
  <c r="N15" i="4" s="1"/>
  <c r="N36" i="4"/>
  <c r="Q38" i="4" s="1"/>
  <c r="K42" i="4"/>
  <c r="S43" i="4" s="1"/>
  <c r="K95" i="4"/>
  <c r="K94" i="4"/>
  <c r="K84" i="4"/>
  <c r="L95" i="4"/>
  <c r="L94" i="4"/>
  <c r="L84" i="4"/>
  <c r="M95" i="4"/>
  <c r="M84" i="4"/>
  <c r="M94" i="4"/>
  <c r="K13" i="4" l="1"/>
  <c r="M86" i="4"/>
  <c r="L103" i="4"/>
  <c r="K86" i="4"/>
  <c r="O102" i="4" s="1"/>
  <c r="K101" i="4"/>
  <c r="K99" i="4"/>
  <c r="K102" i="4"/>
  <c r="L86" i="4"/>
  <c r="L101" i="4"/>
  <c r="L99" i="4"/>
  <c r="K103" i="4"/>
  <c r="L102" i="4"/>
  <c r="K14" i="4" l="1"/>
  <c r="P103" i="4"/>
  <c r="K104" i="4"/>
  <c r="P102" i="4"/>
  <c r="O100" i="4"/>
  <c r="O101" i="4"/>
  <c r="O99" i="4"/>
  <c r="O103" i="4"/>
  <c r="L104" i="4"/>
  <c r="P101" i="4"/>
  <c r="P100" i="4"/>
  <c r="P99" i="4"/>
  <c r="O104" i="4" l="1"/>
  <c r="P104" i="4"/>
  <c r="K26" i="4" l="1"/>
  <c r="K20" i="4"/>
  <c r="K24" i="4"/>
  <c r="K21" i="4"/>
  <c r="K27" i="4" s="1"/>
  <c r="K23" i="4"/>
  <c r="K22" i="4"/>
  <c r="O11" i="4" l="1"/>
  <c r="K41" i="4"/>
  <c r="Q20" i="4"/>
  <c r="Q21" i="4"/>
  <c r="K37" i="4"/>
  <c r="K40" i="4"/>
  <c r="N35" i="4" s="1"/>
  <c r="S22" i="4"/>
  <c r="U22" i="4" s="1"/>
  <c r="S20" i="4"/>
  <c r="U20" i="4" s="1"/>
  <c r="K36" i="4"/>
  <c r="R21" i="4"/>
  <c r="R20" i="4"/>
  <c r="R22" i="4"/>
  <c r="Q22" i="4"/>
  <c r="S21" i="4"/>
  <c r="U21" i="4" s="1"/>
  <c r="U11" i="4"/>
  <c r="P11" i="4"/>
  <c r="V22" i="4" l="1"/>
  <c r="Q36" i="4"/>
  <c r="Q37" i="4" s="1"/>
  <c r="N34" i="4"/>
  <c r="Q34" i="4" s="1"/>
  <c r="Q35" i="4" s="1"/>
  <c r="Q40" i="4" s="1"/>
  <c r="V20" i="4"/>
  <c r="V11" i="4"/>
  <c r="V21" i="4"/>
  <c r="O15" i="4"/>
  <c r="S23" i="4" l="1"/>
  <c r="U23" i="4" s="1"/>
  <c r="V23" i="4" s="1"/>
  <c r="T34" i="4"/>
  <c r="S44" i="4" l="1"/>
  <c r="T3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Tausz</author>
    <author>Veronika Mares</author>
    <author>Johannes Mantler - Kachelofenverband.at</author>
  </authors>
  <commentList>
    <comment ref="J3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Masse des je Stunde verfeuerten Prüfbrennstoffs</t>
        </r>
      </text>
    </comment>
    <comment ref="M3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spezifische Wärme des trockenen Abgases unter Normalbedingungen abhängig von Temperatur und Zusammensetzung der Abgase</t>
        </r>
      </text>
    </comment>
    <comment ref="P3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Wärmeverluste in den Abgasen, bezogen auf die Masseneinheit des Brennstoffs</t>
        </r>
      </text>
    </comment>
    <comment ref="S3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Wärmeleistung</t>
        </r>
      </text>
    </comment>
    <comment ref="T3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Wärmeleistung</t>
        </r>
      </text>
    </comment>
    <comment ref="M35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von der Temperatur abhängige spezifische Wärme des Wassers unter Normalbedingungen</t>
        </r>
      </text>
    </comment>
    <comment ref="P35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Verlustanteil infolge freier Wärme in den Abgasen Q</t>
        </r>
        <r>
          <rPr>
            <vertAlign val="subscript"/>
            <sz val="8"/>
            <color indexed="81"/>
            <rFont val="Tahoma"/>
            <family val="2"/>
          </rPr>
          <t>a</t>
        </r>
        <r>
          <rPr>
            <sz val="8"/>
            <color indexed="81"/>
            <rFont val="Tahoma"/>
            <family val="2"/>
          </rPr>
          <t>, bezogen auf den Heizwert des Brennstoffs</t>
        </r>
      </text>
    </comment>
    <comment ref="S35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Wärmeleistung an das Wasser</t>
        </r>
      </text>
    </comment>
    <comment ref="T35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Wasserleistung</t>
        </r>
      </text>
    </comment>
    <comment ref="M36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Kohlenstoffgehalt des Rost- und Schürdurchfalls der sich auf die Menge verfeuerten Brennstoffs bezieht (Näherung: Cr = R*b/100)</t>
        </r>
      </text>
    </comment>
    <comment ref="P36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chemische Wärmeverluste in den Abgasen, bezogen auf die Masseneinheit des Brennstoffes</t>
        </r>
      </text>
    </comment>
    <comment ref="S36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Wärmeleistung an den Raum</t>
        </r>
      </text>
    </comment>
    <comment ref="T36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an den Raum abgegebene Leistung</t>
        </r>
      </text>
    </comment>
    <comment ref="M37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Abbrand in einer 10-Stunden-Prüfung unter Berücksichtigung des Aschegehalts des Brennstoffs, jedoch ohne Berücksichtigung der brennbaren Bestandteile im Rost- und Schürdurch-fall</t>
        </r>
      </text>
    </comment>
    <comment ref="P37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Verlustanteil infolge latenter Wärme in den Abgasen Qb, bezogen auf den Heizwert des Brennstoffes</t>
        </r>
      </text>
    </comment>
    <comment ref="P38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Wärmeverluste infolge brennbarer Bestandteile im Rost- und Schürdurchfall, bezogen auf den Heizwert des Brennstoffes</t>
        </r>
      </text>
    </comment>
    <comment ref="P39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Wärmeverlustanteil infolge brennbarer Bestandteile im Rost und Schürdurchfall Qr, bezogen auf die Masseneinheit des Brennstoffes</t>
        </r>
      </text>
    </comment>
    <comment ref="J40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mittlere Abgastemperatur</t>
        </r>
      </text>
    </comment>
    <comment ref="J41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mittlere Raumtemperatur</t>
        </r>
      </text>
    </comment>
    <comment ref="J43" authorId="1" shapeId="0" xr:uid="{00000000-0006-0000-0000-000014000000}">
      <text>
        <r>
          <rPr>
            <b/>
            <sz val="8"/>
            <color indexed="81"/>
            <rFont val="Tahoma"/>
            <family val="2"/>
          </rPr>
          <t>Rost- und Schürdurchfall, bezogen auf die Masse des Prüfbrennstoffs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4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>Brennbare Bestandteile im Rost- und Schürdurchfall, bezogen auf die Masse des Rückstandes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5" authorId="1" shapeId="0" xr:uid="{00000000-0006-0000-0000-000016000000}">
      <text>
        <r>
          <rPr>
            <b/>
            <sz val="8"/>
            <color indexed="81"/>
            <rFont val="Tahoma"/>
            <family val="2"/>
          </rPr>
          <t>Wasserdurchfluss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6" authorId="1" shapeId="0" xr:uid="{00000000-0006-0000-0000-000017000000}">
      <text>
        <r>
          <rPr>
            <b/>
            <sz val="8"/>
            <color indexed="81"/>
            <rFont val="Tahoma"/>
            <family val="2"/>
          </rPr>
          <t>Anstieg Kesselwassertemperatur</t>
        </r>
      </text>
    </comment>
    <comment ref="M69" authorId="2" shapeId="0" xr:uid="{00000000-0006-0000-0000-000018000000}">
      <text>
        <r>
          <rPr>
            <b/>
            <sz val="9"/>
            <color indexed="81"/>
            <rFont val="Tahoma"/>
            <family val="2"/>
          </rPr>
          <t>Johannes Mantler - Kachelofenverband.at:</t>
        </r>
        <r>
          <rPr>
            <sz val="9"/>
            <color indexed="81"/>
            <rFont val="Tahoma"/>
            <family val="2"/>
          </rPr>
          <t xml:space="preserve">
Quelle: ofi, Pelletsprüfung nach EN 14961-1 (Prüfbericht Nr.: 414.006), Wien, 2014</t>
        </r>
      </text>
    </comment>
    <comment ref="Q70" authorId="2" shapeId="0" xr:uid="{00000000-0006-0000-0000-000019000000}">
      <text>
        <r>
          <rPr>
            <b/>
            <sz val="9"/>
            <color indexed="81"/>
            <rFont val="Tahoma"/>
            <family val="2"/>
          </rPr>
          <t>Johannes Mantler - Kachelofenverband.at:</t>
        </r>
        <r>
          <rPr>
            <sz val="9"/>
            <color indexed="81"/>
            <rFont val="Tahoma"/>
            <family val="2"/>
          </rPr>
          <t xml:space="preserve">
Quelle: ofi, Pelletsprüfung nach EN 14961-1 (Prüfbericht Nr.: 414.006), Wien, 2014</t>
        </r>
      </text>
    </comment>
    <comment ref="J88" authorId="2" shapeId="0" xr:uid="{00000000-0006-0000-0000-00001A000000}">
      <text>
        <r>
          <rPr>
            <b/>
            <sz val="9"/>
            <color indexed="81"/>
            <rFont val="Tahoma"/>
            <family val="2"/>
          </rPr>
          <t>Jürgen Kollmann:</t>
        </r>
        <r>
          <rPr>
            <sz val="9"/>
            <color indexed="81"/>
            <rFont val="Tahoma"/>
            <family val="2"/>
          </rPr>
          <t xml:space="preserve">
Heizlast nach Boie</t>
        </r>
      </text>
    </comment>
    <comment ref="M88" authorId="2" shapeId="0" xr:uid="{00000000-0006-0000-0000-00001B000000}">
      <text>
        <r>
          <rPr>
            <b/>
            <sz val="9"/>
            <color indexed="81"/>
            <rFont val="Tahoma"/>
            <family val="2"/>
          </rPr>
          <t>Johannes Mantler - Kachelofenverband.at:</t>
        </r>
        <r>
          <rPr>
            <sz val="9"/>
            <color indexed="81"/>
            <rFont val="Tahoma"/>
            <family val="2"/>
          </rPr>
          <t xml:space="preserve">
Quelle: ofi, Pelletsprüfung nach EN 14961-1 (Prüfbericht Nr.: 414.006), Wien, 2014</t>
        </r>
      </text>
    </comment>
    <comment ref="J89" authorId="2" shapeId="0" xr:uid="{00000000-0006-0000-0000-00001C000000}">
      <text>
        <r>
          <rPr>
            <b/>
            <sz val="9"/>
            <color indexed="81"/>
            <rFont val="Tahoma"/>
            <family val="2"/>
          </rPr>
          <t>Jürgen Kollmann:</t>
        </r>
        <r>
          <rPr>
            <sz val="9"/>
            <color indexed="81"/>
            <rFont val="Tahoma"/>
            <family val="2"/>
          </rPr>
          <t xml:space="preserve">
Eingabefeld
bei Lambda =1 selber Wert wie CO2max</t>
        </r>
      </text>
    </comment>
    <comment ref="J90" authorId="2" shapeId="0" xr:uid="{00000000-0006-0000-0000-00001D000000}">
      <text>
        <r>
          <rPr>
            <b/>
            <sz val="9"/>
            <color indexed="81"/>
            <rFont val="Tahoma"/>
            <family val="2"/>
          </rPr>
          <t>Jürgen Kollmann:</t>
        </r>
        <r>
          <rPr>
            <sz val="9"/>
            <color indexed="81"/>
            <rFont val="Tahoma"/>
            <family val="2"/>
          </rPr>
          <t xml:space="preserve">
Gleichung lt. Norm TabelleB1(Scheitholz)
Fehler: in Norm Wert 2,44; korrekt 2,44x1000</t>
        </r>
      </text>
    </comment>
    <comment ref="J91" authorId="2" shapeId="0" xr:uid="{00000000-0006-0000-0000-00001E000000}">
      <text>
        <r>
          <rPr>
            <b/>
            <sz val="9"/>
            <color indexed="81"/>
            <rFont val="Tahoma"/>
            <family val="2"/>
          </rPr>
          <t>Johannes Mantler - Kachelofenverband.at:</t>
        </r>
        <r>
          <rPr>
            <sz val="9"/>
            <color indexed="81"/>
            <rFont val="Tahoma"/>
            <family val="2"/>
          </rPr>
          <t xml:space="preserve">
Bei minimaler Luftzufuhr</t>
        </r>
      </text>
    </comment>
  </commentList>
</comments>
</file>

<file path=xl/sharedStrings.xml><?xml version="1.0" encoding="utf-8"?>
<sst xmlns="http://schemas.openxmlformats.org/spreadsheetml/2006/main" count="252" uniqueCount="185">
  <si>
    <t>Zeit</t>
  </si>
  <si>
    <t>CO</t>
  </si>
  <si>
    <t>NO</t>
  </si>
  <si>
    <t>OGC</t>
  </si>
  <si>
    <t>Rechenwerte</t>
  </si>
  <si>
    <t>[%]</t>
  </si>
  <si>
    <t>[ppm]</t>
  </si>
  <si>
    <t>MG CO [kg/kmol]</t>
  </si>
  <si>
    <t>MG OGC [kg/kmol]</t>
  </si>
  <si>
    <t>[ppm 13%]</t>
  </si>
  <si>
    <t>[mg/m³]</t>
  </si>
  <si>
    <t>[mg/MJ]</t>
  </si>
  <si>
    <t xml:space="preserve">CO </t>
  </si>
  <si>
    <t>C [%]</t>
  </si>
  <si>
    <t>CO [%]</t>
  </si>
  <si>
    <t>H [%]</t>
  </si>
  <si>
    <t>W [%]</t>
  </si>
  <si>
    <r>
      <t>[</t>
    </r>
    <r>
      <rPr>
        <sz val="10"/>
        <rFont val="Arial"/>
        <family val="2"/>
      </rPr>
      <t>ºC]</t>
    </r>
  </si>
  <si>
    <r>
      <t>MG 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[kg/kmol]</t>
    </r>
  </si>
  <si>
    <r>
      <t>V</t>
    </r>
    <r>
      <rPr>
        <vertAlign val="subscript"/>
        <sz val="10"/>
        <rFont val="Arial"/>
        <family val="2"/>
      </rPr>
      <t>ideal</t>
    </r>
    <r>
      <rPr>
        <sz val="10"/>
        <rFont val="Arial"/>
        <family val="2"/>
      </rPr>
      <t xml:space="preserve"> [m³/kmol]</t>
    </r>
  </si>
  <si>
    <r>
      <t>H</t>
    </r>
    <r>
      <rPr>
        <vertAlign val="subscript"/>
        <sz val="10"/>
        <rFont val="Arial"/>
        <family val="2"/>
      </rPr>
      <t>u</t>
    </r>
    <r>
      <rPr>
        <sz val="10"/>
        <rFont val="Arial"/>
        <family val="2"/>
      </rPr>
      <t xml:space="preserve"> [MJ/kg]</t>
    </r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</si>
  <si>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[%]</t>
    </r>
  </si>
  <si>
    <r>
      <t>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[°C]</t>
    </r>
  </si>
  <si>
    <r>
      <t>t</t>
    </r>
    <r>
      <rPr>
        <b/>
        <vertAlign val="sub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[°C]</t>
    </r>
  </si>
  <si>
    <r>
      <t>H</t>
    </r>
    <r>
      <rPr>
        <b/>
        <vertAlign val="subscript"/>
        <sz val="10"/>
        <rFont val="Arial"/>
        <family val="2"/>
      </rPr>
      <t xml:space="preserve">u </t>
    </r>
    <r>
      <rPr>
        <b/>
        <sz val="10"/>
        <rFont val="Arial"/>
        <family val="2"/>
      </rPr>
      <t>[kJ/kg]</t>
    </r>
  </si>
  <si>
    <t>Projekt:</t>
  </si>
  <si>
    <t>Datum:</t>
  </si>
  <si>
    <r>
      <t>V</t>
    </r>
    <r>
      <rPr>
        <vertAlign val="subscript"/>
        <sz val="10"/>
        <rFont val="Arial"/>
        <family val="2"/>
      </rPr>
      <t>A,tr min</t>
    </r>
    <r>
      <rPr>
        <sz val="10"/>
        <rFont val="Arial"/>
        <family val="2"/>
      </rPr>
      <t xml:space="preserve"> [m³/kg]</t>
    </r>
  </si>
  <si>
    <r>
      <t>V</t>
    </r>
    <r>
      <rPr>
        <vertAlign val="subscript"/>
        <sz val="10"/>
        <rFont val="Arial"/>
        <family val="2"/>
      </rPr>
      <t>A,f min</t>
    </r>
    <r>
      <rPr>
        <sz val="10"/>
        <rFont val="Arial"/>
        <family val="2"/>
      </rPr>
      <t xml:space="preserve"> [m³/kg]</t>
    </r>
  </si>
  <si>
    <t>kg</t>
  </si>
  <si>
    <t>Dauer [min]</t>
  </si>
  <si>
    <t>B [kg/h]</t>
  </si>
  <si>
    <t>Angaben:</t>
  </si>
  <si>
    <t>Ergebnisse:</t>
  </si>
  <si>
    <r>
      <t>R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[Masse%]</t>
    </r>
  </si>
  <si>
    <t>b [Masse%]</t>
  </si>
  <si>
    <r>
      <t>c</t>
    </r>
    <r>
      <rPr>
        <vertAlign val="subscript"/>
        <sz val="10"/>
        <rFont val="Arial"/>
        <family val="2"/>
      </rPr>
      <t xml:space="preserve">pmd </t>
    </r>
    <r>
      <rPr>
        <sz val="10"/>
        <rFont val="Arial"/>
        <family val="2"/>
      </rPr>
      <t>[kJ/m³K]</t>
    </r>
  </si>
  <si>
    <r>
      <t>c</t>
    </r>
    <r>
      <rPr>
        <vertAlign val="subscript"/>
        <sz val="10"/>
        <rFont val="Arial"/>
        <family val="2"/>
      </rPr>
      <t xml:space="preserve">pmH2O </t>
    </r>
    <r>
      <rPr>
        <sz val="10"/>
        <rFont val="Arial"/>
        <family val="2"/>
      </rPr>
      <t>[kJ/m³K]</t>
    </r>
  </si>
  <si>
    <r>
      <t>C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[Masse%]</t>
    </r>
  </si>
  <si>
    <t>F [kg]</t>
  </si>
  <si>
    <t>Zwischenergebnisse:</t>
  </si>
  <si>
    <t>Verluste und Wirkungsgrad:</t>
  </si>
  <si>
    <t>kJ/kg</t>
  </si>
  <si>
    <t>%</t>
  </si>
  <si>
    <t>eta [%]</t>
  </si>
  <si>
    <r>
      <t>Q</t>
    </r>
    <r>
      <rPr>
        <vertAlign val="subscript"/>
        <sz val="10"/>
        <rFont val="Arial"/>
        <family val="2"/>
      </rPr>
      <t xml:space="preserve">a </t>
    </r>
    <r>
      <rPr>
        <sz val="10"/>
        <rFont val="Arial"/>
        <family val="2"/>
      </rPr>
      <t>[kJ/kg]</t>
    </r>
  </si>
  <si>
    <r>
      <t>q</t>
    </r>
    <r>
      <rPr>
        <vertAlign val="subscript"/>
        <sz val="10"/>
        <rFont val="Arial"/>
        <family val="2"/>
      </rPr>
      <t xml:space="preserve">a </t>
    </r>
    <r>
      <rPr>
        <sz val="10"/>
        <rFont val="Arial"/>
        <family val="2"/>
      </rPr>
      <t>[%]</t>
    </r>
  </si>
  <si>
    <r>
      <t>Q</t>
    </r>
    <r>
      <rPr>
        <vertAlign val="subscript"/>
        <sz val="10"/>
        <rFont val="Arial"/>
        <family val="2"/>
      </rPr>
      <t xml:space="preserve">b </t>
    </r>
    <r>
      <rPr>
        <sz val="10"/>
        <rFont val="Arial"/>
        <family val="2"/>
      </rPr>
      <t>[kJ/kg]</t>
    </r>
  </si>
  <si>
    <r>
      <t>q</t>
    </r>
    <r>
      <rPr>
        <vertAlign val="subscript"/>
        <sz val="10"/>
        <rFont val="Arial"/>
        <family val="2"/>
      </rPr>
      <t xml:space="preserve">b </t>
    </r>
    <r>
      <rPr>
        <sz val="10"/>
        <rFont val="Arial"/>
        <family val="2"/>
      </rPr>
      <t>[%]</t>
    </r>
  </si>
  <si>
    <r>
      <t>Q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[kJ/kg]</t>
    </r>
  </si>
  <si>
    <r>
      <t>q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[%]</t>
    </r>
  </si>
  <si>
    <t>P [kW]</t>
  </si>
  <si>
    <r>
      <t>P</t>
    </r>
    <r>
      <rPr>
        <vertAlign val="subscript"/>
        <sz val="10"/>
        <rFont val="Arial"/>
        <family val="2"/>
      </rPr>
      <t xml:space="preserve">w </t>
    </r>
    <r>
      <rPr>
        <sz val="10"/>
        <rFont val="Arial"/>
        <family val="2"/>
      </rPr>
      <t>[kW]</t>
    </r>
  </si>
  <si>
    <r>
      <t>P</t>
    </r>
    <r>
      <rPr>
        <vertAlign val="subscript"/>
        <sz val="10"/>
        <rFont val="Arial"/>
        <family val="2"/>
      </rPr>
      <t xml:space="preserve">SH </t>
    </r>
    <r>
      <rPr>
        <sz val="10"/>
        <rFont val="Arial"/>
        <family val="2"/>
      </rPr>
      <t>[kW]</t>
    </r>
  </si>
  <si>
    <t>N [K]</t>
  </si>
  <si>
    <r>
      <t>M</t>
    </r>
    <r>
      <rPr>
        <b/>
        <vertAlign val="subscript"/>
        <sz val="10"/>
        <rFont val="Arial"/>
        <family val="2"/>
      </rPr>
      <t>w</t>
    </r>
    <r>
      <rPr>
        <b/>
        <sz val="10"/>
        <rFont val="Arial"/>
        <family val="2"/>
      </rPr>
      <t xml:space="preserve"> [kg/h]</t>
    </r>
  </si>
  <si>
    <r>
      <t>c</t>
    </r>
    <r>
      <rPr>
        <b/>
        <vertAlign val="sub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[kj/kgK]</t>
    </r>
  </si>
  <si>
    <t>Leistungen:</t>
  </si>
  <si>
    <t>h</t>
  </si>
  <si>
    <t>Berechnung Abgasmassenstrom</t>
  </si>
  <si>
    <t>B</t>
  </si>
  <si>
    <t>C</t>
  </si>
  <si>
    <t>H</t>
  </si>
  <si>
    <t>W</t>
  </si>
  <si>
    <t>CO bei 13%</t>
  </si>
  <si>
    <t>kg/h</t>
  </si>
  <si>
    <t>ppm</t>
  </si>
  <si>
    <t>m</t>
  </si>
  <si>
    <t>kj/kg</t>
  </si>
  <si>
    <t>g/s</t>
  </si>
  <si>
    <t>Stunden</t>
  </si>
  <si>
    <t>kW</t>
  </si>
  <si>
    <t>Brennstoffwärmeleistung:</t>
  </si>
  <si>
    <t>Minimalwerte</t>
  </si>
  <si>
    <t xml:space="preserve">BRENNSTOFFMENGE: </t>
  </si>
  <si>
    <r>
      <t>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-Luft [%]</t>
    </r>
  </si>
  <si>
    <r>
      <t>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[%]</t>
    </r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</si>
  <si>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[%]</t>
    </r>
  </si>
  <si>
    <t>CO [ppm]</t>
  </si>
  <si>
    <t>NO [ppm]</t>
  </si>
  <si>
    <t>OGC [ppm]</t>
  </si>
  <si>
    <r>
      <t>t</t>
    </r>
    <r>
      <rPr>
        <vertAlign val="subscript"/>
        <sz val="10"/>
        <rFont val="Arial"/>
        <family val="2"/>
      </rPr>
      <t>Raum</t>
    </r>
    <r>
      <rPr>
        <sz val="10"/>
        <rFont val="Arial"/>
        <family val="2"/>
      </rPr>
      <t xml:space="preserve"> [°C]</t>
    </r>
  </si>
  <si>
    <r>
      <t>O</t>
    </r>
    <r>
      <rPr>
        <vertAlign val="subscript"/>
        <sz val="10"/>
        <rFont val="Arial"/>
        <family val="2"/>
      </rPr>
      <t>2</t>
    </r>
  </si>
  <si>
    <r>
      <t>CO</t>
    </r>
    <r>
      <rPr>
        <vertAlign val="subscript"/>
        <sz val="10"/>
        <rFont val="Arial"/>
        <family val="2"/>
      </rPr>
      <t>2</t>
    </r>
  </si>
  <si>
    <r>
      <t>NO</t>
    </r>
    <r>
      <rPr>
        <vertAlign val="subscript"/>
        <sz val="10"/>
        <rFont val="Arial"/>
        <family val="2"/>
      </rPr>
      <t>2</t>
    </r>
  </si>
  <si>
    <t>Buche</t>
  </si>
  <si>
    <r>
      <t>t</t>
    </r>
    <r>
      <rPr>
        <vertAlign val="subscript"/>
        <sz val="10"/>
        <rFont val="Arial"/>
        <family val="2"/>
      </rPr>
      <t>Abgas</t>
    </r>
    <r>
      <rPr>
        <sz val="10"/>
        <rFont val="Arial"/>
        <family val="2"/>
      </rPr>
      <t xml:space="preserve"> [°C]</t>
    </r>
  </si>
  <si>
    <r>
      <t>t</t>
    </r>
    <r>
      <rPr>
        <vertAlign val="subscript"/>
        <sz val="10"/>
        <rFont val="Arial"/>
        <family val="2"/>
      </rPr>
      <t>Abgas</t>
    </r>
  </si>
  <si>
    <r>
      <t>t</t>
    </r>
    <r>
      <rPr>
        <vertAlign val="subscript"/>
        <sz val="10"/>
        <rFont val="Arial"/>
        <family val="2"/>
      </rPr>
      <t>Raum</t>
    </r>
  </si>
  <si>
    <r>
      <t>CO</t>
    </r>
    <r>
      <rPr>
        <b/>
        <vertAlign val="subscript"/>
        <sz val="10"/>
        <rFont val="Arial"/>
        <family val="2"/>
      </rPr>
      <t>2</t>
    </r>
  </si>
  <si>
    <r>
      <t>H</t>
    </r>
    <r>
      <rPr>
        <b/>
        <vertAlign val="subscript"/>
        <sz val="10"/>
        <rFont val="Arial"/>
        <family val="2"/>
      </rPr>
      <t>u</t>
    </r>
  </si>
  <si>
    <r>
      <t>q</t>
    </r>
    <r>
      <rPr>
        <b/>
        <vertAlign val="subscript"/>
        <sz val="10"/>
        <rFont val="Arial"/>
        <family val="2"/>
      </rPr>
      <t>R</t>
    </r>
  </si>
  <si>
    <r>
      <t>O</t>
    </r>
    <r>
      <rPr>
        <b/>
        <vertAlign val="subscript"/>
        <sz val="10"/>
        <rFont val="Arial"/>
        <family val="2"/>
      </rPr>
      <t>2</t>
    </r>
  </si>
  <si>
    <r>
      <t>Q</t>
    </r>
    <r>
      <rPr>
        <b/>
        <vertAlign val="subscript"/>
        <sz val="10"/>
        <rFont val="Arial"/>
        <family val="2"/>
      </rPr>
      <t>R</t>
    </r>
  </si>
  <si>
    <r>
      <t>C</t>
    </r>
    <r>
      <rPr>
        <b/>
        <vertAlign val="subscript"/>
        <sz val="10"/>
        <rFont val="Arial"/>
        <family val="2"/>
      </rPr>
      <t>R</t>
    </r>
  </si>
  <si>
    <t>Versuchsfile:</t>
  </si>
  <si>
    <t>-</t>
  </si>
  <si>
    <t>Einheit</t>
  </si>
  <si>
    <t>Maximum</t>
  </si>
  <si>
    <t>Minimum</t>
  </si>
  <si>
    <t>Art. 15a (2015) [mg/MJ]</t>
  </si>
  <si>
    <r>
      <t>CO</t>
    </r>
    <r>
      <rPr>
        <vertAlign val="subscript"/>
        <sz val="10"/>
        <rFont val="Arial"/>
        <family val="2"/>
      </rPr>
      <t>2max</t>
    </r>
    <r>
      <rPr>
        <sz val="10"/>
        <rFont val="Arial"/>
        <family val="2"/>
      </rPr>
      <t xml:space="preserve"> [%]</t>
    </r>
  </si>
  <si>
    <t>Maximalwerte</t>
  </si>
  <si>
    <t>Datenbereich festlegen</t>
  </si>
  <si>
    <t>Anzahl</t>
  </si>
  <si>
    <t xml:space="preserve">Zeile - Start </t>
  </si>
  <si>
    <t>Zeile - Ende</t>
  </si>
  <si>
    <t>Messwerte</t>
  </si>
  <si>
    <t>Ergebnisse</t>
  </si>
  <si>
    <t>Leistung bez. auf x Stunden</t>
  </si>
  <si>
    <t>l [ - ]</t>
  </si>
  <si>
    <t>Messturm:</t>
  </si>
  <si>
    <t>Versuch</t>
  </si>
  <si>
    <t>Nennlast</t>
  </si>
  <si>
    <t>Teillast</t>
  </si>
  <si>
    <t>Thermische Ablaufsicherung</t>
  </si>
  <si>
    <t>Brandsicherheit</t>
  </si>
  <si>
    <t>Wärmespeicher</t>
  </si>
  <si>
    <t>Kochprüfung</t>
  </si>
  <si>
    <t>Backprüfung</t>
  </si>
  <si>
    <t>Fichte</t>
  </si>
  <si>
    <t>Pellets</t>
  </si>
  <si>
    <t>Berechnung Heizwert</t>
  </si>
  <si>
    <t>Fichte (wf)</t>
  </si>
  <si>
    <t>O</t>
  </si>
  <si>
    <t>N</t>
  </si>
  <si>
    <t>S</t>
  </si>
  <si>
    <t>Cl</t>
  </si>
  <si>
    <t>Asche</t>
  </si>
  <si>
    <t>Summe</t>
  </si>
  <si>
    <t>Buche (wf)</t>
  </si>
  <si>
    <t>Zusammensetzung [Masse-%]; Trocken</t>
  </si>
  <si>
    <t>Zusammensetzung [Masse-%]; Feucht</t>
  </si>
  <si>
    <t>Wasser</t>
  </si>
  <si>
    <r>
      <t>Hu</t>
    </r>
    <r>
      <rPr>
        <vertAlign val="subscript"/>
        <sz val="10"/>
        <rFont val="Arial"/>
        <family val="2"/>
      </rPr>
      <t>w</t>
    </r>
  </si>
  <si>
    <t>Lambda</t>
  </si>
  <si>
    <r>
      <t>L</t>
    </r>
    <r>
      <rPr>
        <vertAlign val="subscript"/>
        <sz val="10"/>
        <rFont val="Arial"/>
        <family val="2"/>
      </rPr>
      <t>min</t>
    </r>
  </si>
  <si>
    <r>
      <t>V</t>
    </r>
    <r>
      <rPr>
        <vertAlign val="subscript"/>
        <sz val="10"/>
        <rFont val="Arial"/>
        <family val="2"/>
      </rPr>
      <t>atr</t>
    </r>
  </si>
  <si>
    <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</si>
  <si>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SO</t>
    </r>
    <r>
      <rPr>
        <vertAlign val="subscript"/>
        <sz val="10"/>
        <rFont val="Arial"/>
        <family val="2"/>
      </rPr>
      <t>2</t>
    </r>
  </si>
  <si>
    <r>
      <t>N</t>
    </r>
    <r>
      <rPr>
        <vertAlign val="subscript"/>
        <sz val="10"/>
        <rFont val="Arial"/>
        <family val="2"/>
      </rPr>
      <t>2</t>
    </r>
  </si>
  <si>
    <r>
      <t>V</t>
    </r>
    <r>
      <rPr>
        <vertAlign val="subscript"/>
        <sz val="10"/>
        <rFont val="Arial"/>
        <family val="2"/>
      </rPr>
      <t>af</t>
    </r>
  </si>
  <si>
    <t>Berechnungswerte</t>
  </si>
  <si>
    <t>m³/kg</t>
  </si>
  <si>
    <r>
      <t>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-Bedarf</t>
    </r>
  </si>
  <si>
    <r>
      <t>CO</t>
    </r>
    <r>
      <rPr>
        <vertAlign val="subscript"/>
        <sz val="10"/>
        <rFont val="Arial"/>
        <family val="2"/>
      </rPr>
      <t>2, max</t>
    </r>
  </si>
  <si>
    <r>
      <t>Hu</t>
    </r>
    <r>
      <rPr>
        <vertAlign val="subscript"/>
        <sz val="10"/>
        <rFont val="Arial"/>
        <family val="2"/>
      </rPr>
      <t>w, f</t>
    </r>
  </si>
  <si>
    <t>Vol%</t>
  </si>
  <si>
    <r>
      <t>CO</t>
    </r>
    <r>
      <rPr>
        <vertAlign val="subscript"/>
        <sz val="10"/>
        <rFont val="Arial"/>
        <family val="2"/>
      </rPr>
      <t>2tr</t>
    </r>
  </si>
  <si>
    <r>
      <t>SO</t>
    </r>
    <r>
      <rPr>
        <vertAlign val="subscript"/>
        <sz val="10"/>
        <rFont val="Arial"/>
        <family val="2"/>
      </rPr>
      <t>2tr</t>
    </r>
  </si>
  <si>
    <r>
      <t>N</t>
    </r>
    <r>
      <rPr>
        <vertAlign val="subscript"/>
        <sz val="10"/>
        <rFont val="Arial"/>
        <family val="2"/>
      </rPr>
      <t>2tr</t>
    </r>
  </si>
  <si>
    <r>
      <t>O</t>
    </r>
    <r>
      <rPr>
        <vertAlign val="subscript"/>
        <sz val="10"/>
        <rFont val="Arial"/>
        <family val="2"/>
      </rPr>
      <t>2tr</t>
    </r>
  </si>
  <si>
    <r>
      <t>CO</t>
    </r>
    <r>
      <rPr>
        <vertAlign val="subscript"/>
        <sz val="10"/>
        <rFont val="Arial"/>
        <family val="2"/>
      </rPr>
      <t>2f</t>
    </r>
  </si>
  <si>
    <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</si>
  <si>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SO</t>
    </r>
    <r>
      <rPr>
        <vertAlign val="subscript"/>
        <sz val="10"/>
        <rFont val="Arial"/>
        <family val="2"/>
      </rPr>
      <t>2f</t>
    </r>
  </si>
  <si>
    <r>
      <t>N</t>
    </r>
    <r>
      <rPr>
        <vertAlign val="subscript"/>
        <sz val="10"/>
        <rFont val="Arial"/>
        <family val="2"/>
      </rPr>
      <t>2f</t>
    </r>
  </si>
  <si>
    <r>
      <t>O</t>
    </r>
    <r>
      <rPr>
        <vertAlign val="subscript"/>
        <sz val="10"/>
        <rFont val="Arial"/>
        <family val="2"/>
      </rPr>
      <t>2f</t>
    </r>
  </si>
  <si>
    <t>Verbrennungsprodukte [Vol-%]; Trocken</t>
  </si>
  <si>
    <t>Verbrennungsprodukte [Vol-%]; Feucht</t>
  </si>
  <si>
    <t>Pellets (wf)</t>
  </si>
  <si>
    <t>Dauer Wasser [min]</t>
  </si>
  <si>
    <t>Datum</t>
  </si>
  <si>
    <t>Mittelwert</t>
  </si>
  <si>
    <t>Bezeichnung der Proben: z.B. M1 bedeutet Mittenbereich (R=Randbereich), Scheitel Nummer 1</t>
  </si>
  <si>
    <t>Bezeichnung</t>
  </si>
  <si>
    <t>M1</t>
  </si>
  <si>
    <t>R1</t>
  </si>
  <si>
    <t>M2</t>
  </si>
  <si>
    <t>R2</t>
  </si>
  <si>
    <t>Einwaage [g]</t>
  </si>
  <si>
    <t>Rückwaage [g]</t>
  </si>
  <si>
    <t>Differenz [g]</t>
  </si>
  <si>
    <t>Wassergehalt [%]</t>
  </si>
  <si>
    <t>Holzscheit</t>
  </si>
  <si>
    <t>Messpunkt 1</t>
  </si>
  <si>
    <t>Messpunkt 2</t>
  </si>
  <si>
    <t>Feuchtegehalt</t>
  </si>
  <si>
    <t>Wassergehalt</t>
  </si>
  <si>
    <t>Wassergehaltsbestimmung - Schnelltest</t>
  </si>
  <si>
    <t>Probe Nr. 1</t>
  </si>
  <si>
    <t>Probe Nr. 4</t>
  </si>
  <si>
    <t>Probe Nr. 3</t>
  </si>
  <si>
    <t>Probe Nr. 2</t>
  </si>
  <si>
    <t>Wassergehaltsbestimmung - DIN 51718</t>
  </si>
  <si>
    <t>14.10.2020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</si>
</sst>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dd/mm/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bscript"/>
      <sz val="8"/>
      <color indexed="81"/>
      <name val="Tahoma"/>
      <family val="2"/>
    </font>
    <font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5D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9">
    <xf numFmtId="0" fontId="0" fillId="0" borderId="0" xfId="0"/>
    <xf numFmtId="0" fontId="1" fillId="0" borderId="6" xfId="0" applyFont="1" applyBorder="1" applyAlignment="1">
      <alignment horizontal="center"/>
    </xf>
    <xf numFmtId="2" fontId="0" fillId="2" borderId="0" xfId="0" applyNumberFormat="1" applyFill="1" applyProtection="1"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65" fontId="4" fillId="2" borderId="17" xfId="0" applyNumberFormat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2" fontId="1" fillId="2" borderId="0" xfId="0" applyNumberFormat="1" applyFont="1" applyFill="1" applyProtection="1">
      <protection locked="0"/>
    </xf>
    <xf numFmtId="0" fontId="1" fillId="0" borderId="0" xfId="0" applyFont="1"/>
    <xf numFmtId="2" fontId="0" fillId="0" borderId="0" xfId="0" applyNumberFormat="1"/>
    <xf numFmtId="2" fontId="2" fillId="0" borderId="0" xfId="0" applyNumberFormat="1" applyFont="1"/>
    <xf numFmtId="165" fontId="1" fillId="0" borderId="0" xfId="0" applyNumberFormat="1" applyFont="1"/>
    <xf numFmtId="0" fontId="9" fillId="0" borderId="0" xfId="0" applyFont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15" fillId="0" borderId="0" xfId="0" applyFont="1" applyAlignment="1">
      <alignment horizontal="center"/>
    </xf>
    <xf numFmtId="0" fontId="3" fillId="0" borderId="6" xfId="0" applyFon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5" fillId="0" borderId="0" xfId="0" applyNumberFormat="1" applyFont="1" applyAlignment="1">
      <alignment horizontal="center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6" xfId="0" applyFont="1" applyBorder="1"/>
    <xf numFmtId="2" fontId="0" fillId="0" borderId="6" xfId="0" applyNumberFormat="1" applyBorder="1" applyAlignment="1">
      <alignment horizontal="center"/>
    </xf>
    <xf numFmtId="0" fontId="2" fillId="0" borderId="5" xfId="0" applyFont="1" applyBorder="1"/>
    <xf numFmtId="0" fontId="0" fillId="0" borderId="1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0" fillId="0" borderId="1" xfId="0" applyNumberFormat="1" applyBorder="1"/>
    <xf numFmtId="2" fontId="0" fillId="0" borderId="8" xfId="0" applyNumberFormat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1" fillId="4" borderId="6" xfId="0" applyNumberFormat="1" applyFont="1" applyFill="1" applyBorder="1" applyAlignment="1">
      <alignment horizontal="center"/>
    </xf>
    <xf numFmtId="0" fontId="2" fillId="0" borderId="6" xfId="1" applyFont="1" applyBorder="1"/>
    <xf numFmtId="1" fontId="1" fillId="3" borderId="6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2" fillId="3" borderId="0" xfId="0" applyNumberFormat="1" applyFont="1" applyFill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6" xfId="1" applyFont="1" applyBorder="1"/>
    <xf numFmtId="1" fontId="1" fillId="0" borderId="6" xfId="0" applyNumberFormat="1" applyFont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2" fontId="1" fillId="0" borderId="0" xfId="0" applyNumberFormat="1" applyFont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1" fontId="2" fillId="0" borderId="3" xfId="0" applyNumberFormat="1" applyFont="1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/>
    <xf numFmtId="0" fontId="0" fillId="0" borderId="5" xfId="0" applyBorder="1"/>
    <xf numFmtId="164" fontId="0" fillId="0" borderId="0" xfId="0" applyNumberFormat="1"/>
    <xf numFmtId="165" fontId="0" fillId="3" borderId="1" xfId="0" applyNumberFormat="1" applyFill="1" applyBorder="1"/>
    <xf numFmtId="0" fontId="3" fillId="0" borderId="5" xfId="0" applyFont="1" applyBorder="1"/>
    <xf numFmtId="2" fontId="1" fillId="0" borderId="1" xfId="0" applyNumberFormat="1" applyFont="1" applyBorder="1"/>
    <xf numFmtId="0" fontId="6" fillId="0" borderId="1" xfId="0" applyFont="1" applyBorder="1"/>
    <xf numFmtId="1" fontId="1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5" xfId="0" applyFont="1" applyBorder="1"/>
    <xf numFmtId="1" fontId="1" fillId="0" borderId="1" xfId="0" applyNumberFormat="1" applyFont="1" applyBorder="1"/>
    <xf numFmtId="0" fontId="1" fillId="0" borderId="7" xfId="0" applyFont="1" applyBorder="1"/>
    <xf numFmtId="0" fontId="1" fillId="0" borderId="8" xfId="0" applyFont="1" applyBorder="1"/>
    <xf numFmtId="165" fontId="2" fillId="0" borderId="8" xfId="0" applyNumberFormat="1" applyFont="1" applyBorder="1"/>
    <xf numFmtId="2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left"/>
    </xf>
    <xf numFmtId="2" fontId="1" fillId="0" borderId="14" xfId="0" applyNumberFormat="1" applyFont="1" applyBorder="1" applyAlignment="1">
      <alignment horizontal="center"/>
    </xf>
    <xf numFmtId="165" fontId="0" fillId="0" borderId="1" xfId="0" applyNumberFormat="1" applyBorder="1"/>
    <xf numFmtId="2" fontId="1" fillId="0" borderId="15" xfId="0" applyNumberFormat="1" applyFont="1" applyBorder="1" applyAlignment="1">
      <alignment horizontal="right"/>
    </xf>
    <xf numFmtId="0" fontId="2" fillId="0" borderId="7" xfId="0" applyFont="1" applyBorder="1"/>
    <xf numFmtId="1" fontId="4" fillId="0" borderId="15" xfId="0" applyNumberFormat="1" applyFont="1" applyBorder="1" applyAlignment="1">
      <alignment horizontal="right"/>
    </xf>
    <xf numFmtId="0" fontId="0" fillId="0" borderId="16" xfId="0" applyBorder="1" applyAlignment="1">
      <alignment horizontal="right"/>
    </xf>
    <xf numFmtId="165" fontId="4" fillId="0" borderId="18" xfId="0" applyNumberFormat="1" applyFont="1" applyBorder="1" applyAlignment="1">
      <alignment horizontal="center"/>
    </xf>
    <xf numFmtId="2" fontId="1" fillId="0" borderId="0" xfId="0" applyNumberFormat="1" applyFont="1"/>
    <xf numFmtId="1" fontId="1" fillId="0" borderId="0" xfId="0" applyNumberFormat="1" applyFont="1"/>
    <xf numFmtId="0" fontId="6" fillId="0" borderId="0" xfId="0" applyFont="1"/>
    <xf numFmtId="2" fontId="2" fillId="0" borderId="0" xfId="0" applyNumberFormat="1" applyFont="1" applyAlignment="1">
      <alignment horizontal="center"/>
    </xf>
    <xf numFmtId="21" fontId="1" fillId="5" borderId="0" xfId="0" applyNumberFormat="1" applyFont="1" applyFill="1" applyAlignment="1" applyProtection="1">
      <alignment horizontal="center"/>
      <protection locked="0"/>
    </xf>
    <xf numFmtId="1" fontId="1" fillId="2" borderId="0" xfId="0" applyNumberFormat="1" applyFont="1" applyFill="1" applyProtection="1">
      <protection locked="0"/>
    </xf>
    <xf numFmtId="2" fontId="0" fillId="6" borderId="0" xfId="0" applyNumberFormat="1" applyFill="1"/>
    <xf numFmtId="165" fontId="0" fillId="6" borderId="0" xfId="0" applyNumberFormat="1" applyFill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0" fillId="0" borderId="22" xfId="0" applyBorder="1"/>
    <xf numFmtId="0" fontId="0" fillId="0" borderId="24" xfId="0" applyBorder="1"/>
    <xf numFmtId="0" fontId="0" fillId="0" borderId="19" xfId="0" applyBorder="1"/>
    <xf numFmtId="2" fontId="0" fillId="0" borderId="19" xfId="0" applyNumberFormat="1" applyBorder="1"/>
    <xf numFmtId="0" fontId="1" fillId="0" borderId="11" xfId="0" applyFont="1" applyBorder="1"/>
    <xf numFmtId="1" fontId="0" fillId="0" borderId="0" xfId="0" applyNumberFormat="1"/>
    <xf numFmtId="0" fontId="0" fillId="0" borderId="11" xfId="0" applyBorder="1"/>
    <xf numFmtId="0" fontId="0" fillId="0" borderId="10" xfId="0" applyBorder="1"/>
    <xf numFmtId="0" fontId="0" fillId="0" borderId="26" xfId="0" applyBorder="1"/>
    <xf numFmtId="0" fontId="1" fillId="0" borderId="1" xfId="1" applyBorder="1"/>
    <xf numFmtId="2" fontId="0" fillId="0" borderId="8" xfId="0" applyNumberFormat="1" applyBorder="1"/>
    <xf numFmtId="0" fontId="0" fillId="0" borderId="34" xfId="0" applyBorder="1"/>
    <xf numFmtId="2" fontId="0" fillId="0" borderId="35" xfId="0" applyNumberFormat="1" applyBorder="1"/>
    <xf numFmtId="2" fontId="0" fillId="0" borderId="36" xfId="0" applyNumberFormat="1" applyBorder="1"/>
    <xf numFmtId="0" fontId="1" fillId="0" borderId="37" xfId="0" applyFont="1" applyBorder="1"/>
    <xf numFmtId="2" fontId="0" fillId="0" borderId="38" xfId="0" applyNumberFormat="1" applyBorder="1"/>
    <xf numFmtId="0" fontId="1" fillId="0" borderId="5" xfId="1" applyBorder="1"/>
    <xf numFmtId="0" fontId="1" fillId="0" borderId="34" xfId="1" applyBorder="1"/>
    <xf numFmtId="0" fontId="1" fillId="0" borderId="12" xfId="0" applyFont="1" applyBorder="1"/>
    <xf numFmtId="0" fontId="1" fillId="0" borderId="28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9" xfId="1" applyBorder="1"/>
    <xf numFmtId="2" fontId="0" fillId="0" borderId="21" xfId="0" applyNumberFormat="1" applyBorder="1"/>
    <xf numFmtId="0" fontId="1" fillId="0" borderId="27" xfId="0" applyFont="1" applyBorder="1"/>
    <xf numFmtId="0" fontId="1" fillId="0" borderId="29" xfId="1" applyBorder="1"/>
    <xf numFmtId="165" fontId="0" fillId="0" borderId="35" xfId="0" applyNumberFormat="1" applyBorder="1"/>
    <xf numFmtId="165" fontId="0" fillId="0" borderId="38" xfId="0" applyNumberFormat="1" applyBorder="1"/>
    <xf numFmtId="164" fontId="1" fillId="0" borderId="6" xfId="0" applyNumberFormat="1" applyFont="1" applyBorder="1" applyAlignment="1">
      <alignment horizontal="center"/>
    </xf>
    <xf numFmtId="0" fontId="1" fillId="0" borderId="27" xfId="1" applyBorder="1"/>
    <xf numFmtId="0" fontId="1" fillId="0" borderId="39" xfId="1" applyBorder="1"/>
    <xf numFmtId="0" fontId="0" fillId="0" borderId="39" xfId="0" applyBorder="1"/>
    <xf numFmtId="0" fontId="0" fillId="0" borderId="33" xfId="0" applyBorder="1"/>
    <xf numFmtId="49" fontId="1" fillId="2" borderId="0" xfId="0" applyNumberFormat="1" applyFont="1" applyFill="1" applyProtection="1">
      <protection locked="0"/>
    </xf>
    <xf numFmtId="165" fontId="2" fillId="0" borderId="41" xfId="0" applyNumberFormat="1" applyFont="1" applyBorder="1"/>
    <xf numFmtId="0" fontId="1" fillId="0" borderId="41" xfId="0" applyFont="1" applyBorder="1"/>
    <xf numFmtId="0" fontId="1" fillId="0" borderId="14" xfId="0" applyFont="1" applyBorder="1"/>
    <xf numFmtId="165" fontId="2" fillId="0" borderId="42" xfId="0" applyNumberFormat="1" applyFont="1" applyBorder="1"/>
    <xf numFmtId="0" fontId="1" fillId="0" borderId="42" xfId="0" applyFont="1" applyBorder="1"/>
    <xf numFmtId="2" fontId="2" fillId="2" borderId="42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" xfId="0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0" borderId="17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5" xfId="0" applyFont="1" applyBorder="1"/>
    <xf numFmtId="0" fontId="0" fillId="0" borderId="17" xfId="0" applyBorder="1"/>
    <xf numFmtId="165" fontId="0" fillId="0" borderId="6" xfId="0" applyNumberFormat="1" applyBorder="1"/>
    <xf numFmtId="165" fontId="0" fillId="0" borderId="42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0" fontId="1" fillId="0" borderId="26" xfId="0" applyFont="1" applyBorder="1"/>
    <xf numFmtId="0" fontId="1" fillId="0" borderId="34" xfId="0" applyFont="1" applyBorder="1"/>
    <xf numFmtId="1" fontId="0" fillId="0" borderId="15" xfId="0" applyNumberFormat="1" applyBorder="1"/>
    <xf numFmtId="1" fontId="0" fillId="0" borderId="16" xfId="0" applyNumberFormat="1" applyBorder="1"/>
    <xf numFmtId="165" fontId="1" fillId="0" borderId="17" xfId="0" applyNumberFormat="1" applyFont="1" applyBorder="1" applyAlignment="1">
      <alignment horizontal="center"/>
    </xf>
    <xf numFmtId="165" fontId="0" fillId="0" borderId="15" xfId="0" applyNumberFormat="1" applyBorder="1"/>
    <xf numFmtId="165" fontId="0" fillId="0" borderId="16" xfId="0" applyNumberFormat="1" applyBorder="1"/>
    <xf numFmtId="0" fontId="0" fillId="0" borderId="21" xfId="0" applyBorder="1"/>
    <xf numFmtId="0" fontId="1" fillId="0" borderId="21" xfId="0" applyFont="1" applyBorder="1"/>
    <xf numFmtId="2" fontId="0" fillId="0" borderId="43" xfId="0" applyNumberFormat="1" applyBorder="1"/>
    <xf numFmtId="2" fontId="0" fillId="6" borderId="23" xfId="0" applyNumberFormat="1" applyFill="1" applyBorder="1"/>
    <xf numFmtId="2" fontId="0" fillId="6" borderId="25" xfId="0" applyNumberFormat="1" applyFill="1" applyBorder="1"/>
    <xf numFmtId="2" fontId="0" fillId="6" borderId="29" xfId="0" applyNumberFormat="1" applyFill="1" applyBorder="1"/>
    <xf numFmtId="1" fontId="1" fillId="6" borderId="0" xfId="0" applyNumberFormat="1" applyFont="1" applyFill="1"/>
    <xf numFmtId="0" fontId="2" fillId="0" borderId="13" xfId="0" applyFont="1" applyBorder="1"/>
    <xf numFmtId="2" fontId="1" fillId="0" borderId="4" xfId="0" applyNumberFormat="1" applyFont="1" applyBorder="1"/>
    <xf numFmtId="165" fontId="4" fillId="0" borderId="17" xfId="0" applyNumberFormat="1" applyFont="1" applyBorder="1" applyAlignment="1" applyProtection="1">
      <alignment horizontal="center"/>
      <protection locked="0"/>
    </xf>
    <xf numFmtId="0" fontId="1" fillId="0" borderId="0" xfId="1"/>
    <xf numFmtId="1" fontId="1" fillId="2" borderId="6" xfId="0" applyNumberFormat="1" applyFont="1" applyFill="1" applyBorder="1" applyAlignment="1" applyProtection="1">
      <alignment horizontal="center"/>
      <protection locked="0"/>
    </xf>
    <xf numFmtId="166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44" xfId="0" applyNumberFormat="1" applyFont="1" applyFill="1" applyBorder="1" applyAlignment="1" applyProtection="1">
      <alignment horizontal="center"/>
      <protection locked="0"/>
    </xf>
    <xf numFmtId="164" fontId="0" fillId="0" borderId="7" xfId="0" applyNumberForma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2" fontId="1" fillId="0" borderId="21" xfId="0" applyNumberFormat="1" applyFont="1" applyBorder="1"/>
    <xf numFmtId="0" fontId="1" fillId="0" borderId="0" xfId="1" applyAlignment="1">
      <alignment horizontal="left"/>
    </xf>
    <xf numFmtId="0" fontId="1" fillId="0" borderId="15" xfId="1" applyBorder="1" applyAlignment="1">
      <alignment horizontal="center"/>
    </xf>
    <xf numFmtId="1" fontId="1" fillId="0" borderId="6" xfId="1" applyNumberFormat="1" applyBorder="1" applyAlignment="1">
      <alignment horizontal="center"/>
    </xf>
    <xf numFmtId="165" fontId="1" fillId="0" borderId="6" xfId="1" applyNumberFormat="1" applyBorder="1" applyAlignment="1">
      <alignment horizontal="center"/>
    </xf>
    <xf numFmtId="2" fontId="1" fillId="0" borderId="6" xfId="1" applyNumberFormat="1" applyBorder="1" applyAlignment="1">
      <alignment horizontal="center" wrapText="1"/>
    </xf>
    <xf numFmtId="0" fontId="1" fillId="0" borderId="6" xfId="1" applyBorder="1" applyAlignment="1">
      <alignment horizontal="center" wrapText="1"/>
    </xf>
    <xf numFmtId="0" fontId="1" fillId="0" borderId="17" xfId="1" applyBorder="1" applyAlignment="1">
      <alignment horizontal="center" wrapText="1"/>
    </xf>
    <xf numFmtId="166" fontId="1" fillId="0" borderId="6" xfId="1" applyNumberFormat="1" applyBorder="1" applyAlignment="1">
      <alignment horizontal="center" wrapText="1"/>
    </xf>
    <xf numFmtId="0" fontId="1" fillId="0" borderId="16" xfId="1" applyBorder="1" applyAlignment="1">
      <alignment horizontal="center"/>
    </xf>
    <xf numFmtId="1" fontId="1" fillId="0" borderId="42" xfId="1" applyNumberFormat="1" applyBorder="1" applyAlignment="1">
      <alignment horizontal="center"/>
    </xf>
    <xf numFmtId="165" fontId="1" fillId="0" borderId="42" xfId="1" applyNumberFormat="1" applyBorder="1" applyAlignment="1">
      <alignment horizontal="center"/>
    </xf>
    <xf numFmtId="165" fontId="2" fillId="0" borderId="42" xfId="1" applyNumberFormat="1" applyFont="1" applyBorder="1" applyAlignment="1">
      <alignment horizontal="center"/>
    </xf>
    <xf numFmtId="167" fontId="1" fillId="7" borderId="17" xfId="1" applyNumberFormat="1" applyFill="1" applyBorder="1" applyAlignment="1" applyProtection="1">
      <alignment horizontal="center" wrapText="1"/>
      <protection locked="0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6" xfId="1" applyNumberFormat="1" applyBorder="1" applyAlignment="1">
      <alignment horizontal="center" wrapText="1"/>
    </xf>
    <xf numFmtId="0" fontId="2" fillId="0" borderId="39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2" fontId="2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2" xfId="0" applyFont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9"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FFFF5D"/>
      <color rgb="FFFFFF8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Auswertung!$Y$24</c:f>
          <c:strCache>
            <c:ptCount val="1"/>
            <c:pt idx="0">
              <c:v> - Nennlast  14.10.2020</c:v>
            </c:pt>
          </c:strCache>
        </c:strRef>
      </c:tx>
      <c:layout>
        <c:manualLayout>
          <c:xMode val="edge"/>
          <c:yMode val="edge"/>
          <c:x val="0.2781250654824749"/>
          <c:y val="4.5523873699622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035606347568887"/>
          <c:y val="0.13553922241494773"/>
          <c:w val="0.71563138538081916"/>
          <c:h val="0.75252525252525282"/>
        </c:manualLayout>
      </c:layout>
      <c:lineChart>
        <c:grouping val="standard"/>
        <c:varyColors val="0"/>
        <c:ser>
          <c:idx val="2"/>
          <c:order val="1"/>
          <c:tx>
            <c:strRef>
              <c:f>Auswertung!$D$6</c:f>
              <c:strCache>
                <c:ptCount val="1"/>
                <c:pt idx="0">
                  <c:v>CO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179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</c:numCache>
            </c:numRef>
          </c:cat>
          <c:val>
            <c:numRef>
              <c:f>[0]!Datenbereich_Emissionen_CO</c:f>
              <c:numCache>
                <c:formatCode>0.00</c:formatCode>
                <c:ptCount val="179"/>
                <c:pt idx="0">
                  <c:v>1745.9573</c:v>
                </c:pt>
                <c:pt idx="1">
                  <c:v>1540.9181000000001</c:v>
                </c:pt>
                <c:pt idx="2">
                  <c:v>1546.5658000000001</c:v>
                </c:pt>
                <c:pt idx="3">
                  <c:v>1510.2399</c:v>
                </c:pt>
                <c:pt idx="4">
                  <c:v>1426.0461</c:v>
                </c:pt>
                <c:pt idx="5">
                  <c:v>1465.6847</c:v>
                </c:pt>
                <c:pt idx="6">
                  <c:v>1728.6724999999999</c:v>
                </c:pt>
                <c:pt idx="7">
                  <c:v>2287.9760999999999</c:v>
                </c:pt>
                <c:pt idx="8">
                  <c:v>2066.7134000000001</c:v>
                </c:pt>
                <c:pt idx="9">
                  <c:v>1761.5170000000001</c:v>
                </c:pt>
                <c:pt idx="10">
                  <c:v>1988.7219</c:v>
                </c:pt>
                <c:pt idx="11">
                  <c:v>1112.3562999999999</c:v>
                </c:pt>
                <c:pt idx="12">
                  <c:v>657.65161000000001</c:v>
                </c:pt>
                <c:pt idx="13">
                  <c:v>572.87127999999996</c:v>
                </c:pt>
                <c:pt idx="14">
                  <c:v>519.14892999999995</c:v>
                </c:pt>
                <c:pt idx="15">
                  <c:v>486.65893999999997</c:v>
                </c:pt>
                <c:pt idx="16">
                  <c:v>456.73421999999999</c:v>
                </c:pt>
                <c:pt idx="17">
                  <c:v>468.28100999999998</c:v>
                </c:pt>
                <c:pt idx="18">
                  <c:v>412.67041</c:v>
                </c:pt>
                <c:pt idx="19">
                  <c:v>450.77825999999999</c:v>
                </c:pt>
                <c:pt idx="20">
                  <c:v>774.17938000000004</c:v>
                </c:pt>
                <c:pt idx="21">
                  <c:v>806.23943999999995</c:v>
                </c:pt>
                <c:pt idx="22">
                  <c:v>591.92858999999999</c:v>
                </c:pt>
                <c:pt idx="23">
                  <c:v>690.49756000000002</c:v>
                </c:pt>
                <c:pt idx="24">
                  <c:v>710.66778999999997</c:v>
                </c:pt>
                <c:pt idx="25">
                  <c:v>908.17578000000003</c:v>
                </c:pt>
                <c:pt idx="26">
                  <c:v>985.60955999999999</c:v>
                </c:pt>
                <c:pt idx="27">
                  <c:v>1155.8904</c:v>
                </c:pt>
                <c:pt idx="28">
                  <c:v>1182.2257999999999</c:v>
                </c:pt>
                <c:pt idx="29">
                  <c:v>1196.8895</c:v>
                </c:pt>
                <c:pt idx="30">
                  <c:v>1078.4739999999999</c:v>
                </c:pt>
                <c:pt idx="31">
                  <c:v>1153.191</c:v>
                </c:pt>
                <c:pt idx="32">
                  <c:v>962.46204</c:v>
                </c:pt>
                <c:pt idx="33">
                  <c:v>1177.7092</c:v>
                </c:pt>
                <c:pt idx="34">
                  <c:v>1096.1211000000001</c:v>
                </c:pt>
                <c:pt idx="35">
                  <c:v>1225.1836000000001</c:v>
                </c:pt>
                <c:pt idx="36">
                  <c:v>1302.4862000000001</c:v>
                </c:pt>
                <c:pt idx="37">
                  <c:v>1230.741</c:v>
                </c:pt>
                <c:pt idx="38">
                  <c:v>1218.3209999999999</c:v>
                </c:pt>
                <c:pt idx="39">
                  <c:v>1270.1963000000001</c:v>
                </c:pt>
                <c:pt idx="40">
                  <c:v>1382.4655</c:v>
                </c:pt>
                <c:pt idx="41">
                  <c:v>1285.5696</c:v>
                </c:pt>
                <c:pt idx="42">
                  <c:v>1396.4547</c:v>
                </c:pt>
                <c:pt idx="43">
                  <c:v>1376.5021999999999</c:v>
                </c:pt>
                <c:pt idx="44">
                  <c:v>1307.4794999999999</c:v>
                </c:pt>
                <c:pt idx="45">
                  <c:v>1343.7221999999999</c:v>
                </c:pt>
                <c:pt idx="46">
                  <c:v>1313.0342000000001</c:v>
                </c:pt>
                <c:pt idx="47">
                  <c:v>1393.1385</c:v>
                </c:pt>
                <c:pt idx="48">
                  <c:v>1427.8711000000001</c:v>
                </c:pt>
                <c:pt idx="49">
                  <c:v>1580.5780999999999</c:v>
                </c:pt>
                <c:pt idx="50">
                  <c:v>1466.4603</c:v>
                </c:pt>
                <c:pt idx="51">
                  <c:v>1519.377</c:v>
                </c:pt>
                <c:pt idx="52">
                  <c:v>1645.5785000000001</c:v>
                </c:pt>
                <c:pt idx="53">
                  <c:v>1339.4626000000001</c:v>
                </c:pt>
                <c:pt idx="54">
                  <c:v>1454.7699</c:v>
                </c:pt>
                <c:pt idx="55">
                  <c:v>1497.4834000000001</c:v>
                </c:pt>
                <c:pt idx="56">
                  <c:v>1558.6746000000001</c:v>
                </c:pt>
                <c:pt idx="57">
                  <c:v>1602.2211</c:v>
                </c:pt>
                <c:pt idx="58">
                  <c:v>1480.6146000000001</c:v>
                </c:pt>
                <c:pt idx="59">
                  <c:v>1445.1016</c:v>
                </c:pt>
                <c:pt idx="60">
                  <c:v>1325.0551</c:v>
                </c:pt>
                <c:pt idx="61">
                  <c:v>1505.0251000000001</c:v>
                </c:pt>
                <c:pt idx="62">
                  <c:v>1629.2401</c:v>
                </c:pt>
                <c:pt idx="63">
                  <c:v>1363.9902</c:v>
                </c:pt>
                <c:pt idx="64">
                  <c:v>1331.6278</c:v>
                </c:pt>
                <c:pt idx="65">
                  <c:v>1700.1663000000001</c:v>
                </c:pt>
                <c:pt idx="66">
                  <c:v>1752.5654</c:v>
                </c:pt>
                <c:pt idx="67">
                  <c:v>1557.4799</c:v>
                </c:pt>
                <c:pt idx="68">
                  <c:v>1210.6505</c:v>
                </c:pt>
                <c:pt idx="69">
                  <c:v>1040.1168</c:v>
                </c:pt>
                <c:pt idx="70">
                  <c:v>1166.4278999999999</c:v>
                </c:pt>
                <c:pt idx="71">
                  <c:v>1032.1669999999999</c:v>
                </c:pt>
                <c:pt idx="72">
                  <c:v>1168.7107000000001</c:v>
                </c:pt>
                <c:pt idx="73">
                  <c:v>1102.0800999999999</c:v>
                </c:pt>
                <c:pt idx="74">
                  <c:v>1129.7322999999999</c:v>
                </c:pt>
                <c:pt idx="75">
                  <c:v>943.32239000000004</c:v>
                </c:pt>
                <c:pt idx="76">
                  <c:v>851.56493999999998</c:v>
                </c:pt>
                <c:pt idx="77">
                  <c:v>818.42565999999999</c:v>
                </c:pt>
                <c:pt idx="78">
                  <c:v>675.56841999999995</c:v>
                </c:pt>
                <c:pt idx="79">
                  <c:v>606.72229000000004</c:v>
                </c:pt>
                <c:pt idx="80">
                  <c:v>527.82843000000003</c:v>
                </c:pt>
                <c:pt idx="81">
                  <c:v>359.12759</c:v>
                </c:pt>
                <c:pt idx="82">
                  <c:v>370.58868000000001</c:v>
                </c:pt>
                <c:pt idx="83">
                  <c:v>358.43581999999998</c:v>
                </c:pt>
                <c:pt idx="84">
                  <c:v>350.38799999999998</c:v>
                </c:pt>
                <c:pt idx="85">
                  <c:v>336.15942000000001</c:v>
                </c:pt>
                <c:pt idx="86">
                  <c:v>308.71179000000001</c:v>
                </c:pt>
                <c:pt idx="87">
                  <c:v>290.07623000000001</c:v>
                </c:pt>
                <c:pt idx="88">
                  <c:v>270.10924999999997</c:v>
                </c:pt>
                <c:pt idx="89">
                  <c:v>258.52346999999997</c:v>
                </c:pt>
                <c:pt idx="90">
                  <c:v>237.71530000000001</c:v>
                </c:pt>
                <c:pt idx="91">
                  <c:v>223.72842</c:v>
                </c:pt>
                <c:pt idx="92">
                  <c:v>222.64449999999999</c:v>
                </c:pt>
                <c:pt idx="93">
                  <c:v>229.94535999999999</c:v>
                </c:pt>
                <c:pt idx="94">
                  <c:v>228.91226</c:v>
                </c:pt>
                <c:pt idx="95">
                  <c:v>235.47054</c:v>
                </c:pt>
                <c:pt idx="96">
                  <c:v>226.60991000000001</c:v>
                </c:pt>
                <c:pt idx="97">
                  <c:v>203.31422000000001</c:v>
                </c:pt>
                <c:pt idx="98">
                  <c:v>200.95891</c:v>
                </c:pt>
                <c:pt idx="99">
                  <c:v>205.54868999999999</c:v>
                </c:pt>
                <c:pt idx="100">
                  <c:v>217.21463</c:v>
                </c:pt>
                <c:pt idx="101">
                  <c:v>210.80636999999999</c:v>
                </c:pt>
                <c:pt idx="102">
                  <c:v>219.93656999999999</c:v>
                </c:pt>
                <c:pt idx="103">
                  <c:v>225.51047</c:v>
                </c:pt>
                <c:pt idx="104">
                  <c:v>244.84537</c:v>
                </c:pt>
                <c:pt idx="105">
                  <c:v>255.59612000000001</c:v>
                </c:pt>
                <c:pt idx="106">
                  <c:v>259.28325999999998</c:v>
                </c:pt>
                <c:pt idx="107">
                  <c:v>256.70150999999998</c:v>
                </c:pt>
                <c:pt idx="108">
                  <c:v>246.70352</c:v>
                </c:pt>
                <c:pt idx="109">
                  <c:v>244.33315999999999</c:v>
                </c:pt>
                <c:pt idx="110">
                  <c:v>246.56121999999999</c:v>
                </c:pt>
                <c:pt idx="111">
                  <c:v>255.69466</c:v>
                </c:pt>
                <c:pt idx="112">
                  <c:v>261.24615</c:v>
                </c:pt>
                <c:pt idx="113">
                  <c:v>261.85991999999999</c:v>
                </c:pt>
                <c:pt idx="114">
                  <c:v>264.82934999999998</c:v>
                </c:pt>
                <c:pt idx="115">
                  <c:v>264.76584000000003</c:v>
                </c:pt>
                <c:pt idx="116">
                  <c:v>265.76019000000002</c:v>
                </c:pt>
                <c:pt idx="117">
                  <c:v>286.86727999999999</c:v>
                </c:pt>
                <c:pt idx="118">
                  <c:v>331.91104000000001</c:v>
                </c:pt>
                <c:pt idx="119">
                  <c:v>340.14584000000002</c:v>
                </c:pt>
                <c:pt idx="120">
                  <c:v>310.77237000000002</c:v>
                </c:pt>
                <c:pt idx="121">
                  <c:v>330.54748999999998</c:v>
                </c:pt>
                <c:pt idx="122">
                  <c:v>332.58569</c:v>
                </c:pt>
                <c:pt idx="123">
                  <c:v>371.60147000000001</c:v>
                </c:pt>
                <c:pt idx="124">
                  <c:v>397.75916000000001</c:v>
                </c:pt>
                <c:pt idx="125">
                  <c:v>418.98259999999999</c:v>
                </c:pt>
                <c:pt idx="126">
                  <c:v>409.50283999999999</c:v>
                </c:pt>
                <c:pt idx="127">
                  <c:v>434.86133000000001</c:v>
                </c:pt>
                <c:pt idx="128">
                  <c:v>452.69799999999998</c:v>
                </c:pt>
                <c:pt idx="129">
                  <c:v>437.10455000000002</c:v>
                </c:pt>
                <c:pt idx="130">
                  <c:v>440.75934000000001</c:v>
                </c:pt>
                <c:pt idx="131">
                  <c:v>451.80300999999997</c:v>
                </c:pt>
                <c:pt idx="132">
                  <c:v>488.98932000000002</c:v>
                </c:pt>
                <c:pt idx="133">
                  <c:v>527.74492999999995</c:v>
                </c:pt>
                <c:pt idx="134">
                  <c:v>559.55755999999997</c:v>
                </c:pt>
                <c:pt idx="135">
                  <c:v>611.41687000000002</c:v>
                </c:pt>
                <c:pt idx="136">
                  <c:v>593.43561</c:v>
                </c:pt>
                <c:pt idx="137">
                  <c:v>593.76562999999999</c:v>
                </c:pt>
                <c:pt idx="138">
                  <c:v>609.82709</c:v>
                </c:pt>
                <c:pt idx="139">
                  <c:v>600.25951999999995</c:v>
                </c:pt>
                <c:pt idx="140">
                  <c:v>627.96722</c:v>
                </c:pt>
                <c:pt idx="141">
                  <c:v>654.44763</c:v>
                </c:pt>
                <c:pt idx="142">
                  <c:v>662.35883000000001</c:v>
                </c:pt>
                <c:pt idx="143">
                  <c:v>678.08989999999994</c:v>
                </c:pt>
                <c:pt idx="144">
                  <c:v>607.16045999999994</c:v>
                </c:pt>
                <c:pt idx="145">
                  <c:v>607.36243000000002</c:v>
                </c:pt>
                <c:pt idx="146">
                  <c:v>719.02526999999998</c:v>
                </c:pt>
                <c:pt idx="147">
                  <c:v>766.62152000000003</c:v>
                </c:pt>
                <c:pt idx="148">
                  <c:v>837.55205999999998</c:v>
                </c:pt>
                <c:pt idx="149">
                  <c:v>938.18688999999995</c:v>
                </c:pt>
                <c:pt idx="150">
                  <c:v>1007.2557</c:v>
                </c:pt>
                <c:pt idx="151">
                  <c:v>1073.8818000000001</c:v>
                </c:pt>
                <c:pt idx="152">
                  <c:v>1145.5338999999999</c:v>
                </c:pt>
                <c:pt idx="153">
                  <c:v>1222.4661000000001</c:v>
                </c:pt>
                <c:pt idx="154">
                  <c:v>1458.3459</c:v>
                </c:pt>
                <c:pt idx="155">
                  <c:v>1432.8422</c:v>
                </c:pt>
                <c:pt idx="156">
                  <c:v>1385.5895</c:v>
                </c:pt>
                <c:pt idx="157">
                  <c:v>1481.6974</c:v>
                </c:pt>
                <c:pt idx="158">
                  <c:v>1455.9108000000001</c:v>
                </c:pt>
                <c:pt idx="159">
                  <c:v>1418.0992000000001</c:v>
                </c:pt>
                <c:pt idx="160">
                  <c:v>1412.2383</c:v>
                </c:pt>
                <c:pt idx="161">
                  <c:v>1354.3259</c:v>
                </c:pt>
                <c:pt idx="162">
                  <c:v>1320.6587</c:v>
                </c:pt>
                <c:pt idx="163">
                  <c:v>1320.1542999999999</c:v>
                </c:pt>
                <c:pt idx="164">
                  <c:v>1423.9109000000001</c:v>
                </c:pt>
                <c:pt idx="165">
                  <c:v>1512.5591999999999</c:v>
                </c:pt>
                <c:pt idx="166">
                  <c:v>1599.7737999999999</c:v>
                </c:pt>
                <c:pt idx="167">
                  <c:v>1587.4634000000001</c:v>
                </c:pt>
                <c:pt idx="168">
                  <c:v>1618.1169</c:v>
                </c:pt>
                <c:pt idx="169">
                  <c:v>1691.9115999999999</c:v>
                </c:pt>
                <c:pt idx="170">
                  <c:v>1775.3626999999999</c:v>
                </c:pt>
                <c:pt idx="171">
                  <c:v>1889.6586</c:v>
                </c:pt>
                <c:pt idx="172">
                  <c:v>1904.5372</c:v>
                </c:pt>
                <c:pt idx="173">
                  <c:v>1977.6918000000001</c:v>
                </c:pt>
                <c:pt idx="174">
                  <c:v>2106.3135000000002</c:v>
                </c:pt>
                <c:pt idx="175">
                  <c:v>2164.7190000000001</c:v>
                </c:pt>
                <c:pt idx="176">
                  <c:v>2148.2476000000001</c:v>
                </c:pt>
                <c:pt idx="177">
                  <c:v>2172.5601000000001</c:v>
                </c:pt>
                <c:pt idx="178">
                  <c:v>2188.3789000000002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16-4763-B2E2-364513BD7387}"/>
            </c:ext>
          </c:extLst>
        </c:ser>
        <c:ser>
          <c:idx val="3"/>
          <c:order val="2"/>
          <c:tx>
            <c:strRef>
              <c:f>Auswertung!$E$6</c:f>
              <c:strCache>
                <c:ptCount val="1"/>
                <c:pt idx="0">
                  <c:v>NO2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179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</c:numCache>
            </c:numRef>
          </c:cat>
          <c:val>
            <c:numRef>
              <c:f>[0]!Datenbereich_Emissionen_NO</c:f>
              <c:numCache>
                <c:formatCode>0.00</c:formatCode>
                <c:ptCount val="179"/>
                <c:pt idx="0">
                  <c:v>27.059864000000001</c:v>
                </c:pt>
                <c:pt idx="1">
                  <c:v>29.400936000000002</c:v>
                </c:pt>
                <c:pt idx="2">
                  <c:v>31.967890000000001</c:v>
                </c:pt>
                <c:pt idx="3">
                  <c:v>33.365192</c:v>
                </c:pt>
                <c:pt idx="4">
                  <c:v>32.689857000000003</c:v>
                </c:pt>
                <c:pt idx="5">
                  <c:v>34.988101999999998</c:v>
                </c:pt>
                <c:pt idx="6">
                  <c:v>37.379168999999997</c:v>
                </c:pt>
                <c:pt idx="7">
                  <c:v>39.909148999999999</c:v>
                </c:pt>
                <c:pt idx="8">
                  <c:v>45.197521000000002</c:v>
                </c:pt>
                <c:pt idx="9">
                  <c:v>46.757294000000002</c:v>
                </c:pt>
                <c:pt idx="10">
                  <c:v>46.245032999999999</c:v>
                </c:pt>
                <c:pt idx="11">
                  <c:v>52.597785999999999</c:v>
                </c:pt>
                <c:pt idx="12">
                  <c:v>58.281666000000001</c:v>
                </c:pt>
                <c:pt idx="13">
                  <c:v>59.228672000000003</c:v>
                </c:pt>
                <c:pt idx="14">
                  <c:v>60.081806</c:v>
                </c:pt>
                <c:pt idx="15">
                  <c:v>61.169944999999998</c:v>
                </c:pt>
                <c:pt idx="16">
                  <c:v>63.260223000000003</c:v>
                </c:pt>
                <c:pt idx="17">
                  <c:v>63.556457999999999</c:v>
                </c:pt>
                <c:pt idx="18">
                  <c:v>63.266907000000003</c:v>
                </c:pt>
                <c:pt idx="19">
                  <c:v>64.411147999999997</c:v>
                </c:pt>
                <c:pt idx="20">
                  <c:v>65.706100000000006</c:v>
                </c:pt>
                <c:pt idx="21">
                  <c:v>65.159774999999996</c:v>
                </c:pt>
                <c:pt idx="22">
                  <c:v>65.316574000000003</c:v>
                </c:pt>
                <c:pt idx="23">
                  <c:v>63.626151999999998</c:v>
                </c:pt>
                <c:pt idx="24">
                  <c:v>63.118766999999998</c:v>
                </c:pt>
                <c:pt idx="25">
                  <c:v>63.490551000000004</c:v>
                </c:pt>
                <c:pt idx="26">
                  <c:v>61.573493999999997</c:v>
                </c:pt>
                <c:pt idx="27">
                  <c:v>60.727179999999997</c:v>
                </c:pt>
                <c:pt idx="28">
                  <c:v>62.289299</c:v>
                </c:pt>
                <c:pt idx="29">
                  <c:v>60.491675999999998</c:v>
                </c:pt>
                <c:pt idx="30">
                  <c:v>61.214447</c:v>
                </c:pt>
                <c:pt idx="31">
                  <c:v>61.368358999999998</c:v>
                </c:pt>
                <c:pt idx="32">
                  <c:v>61.024932999999997</c:v>
                </c:pt>
                <c:pt idx="33">
                  <c:v>62.033164999999997</c:v>
                </c:pt>
                <c:pt idx="34">
                  <c:v>64.138489000000007</c:v>
                </c:pt>
                <c:pt idx="35">
                  <c:v>64.524422000000001</c:v>
                </c:pt>
                <c:pt idx="36">
                  <c:v>64.350600999999997</c:v>
                </c:pt>
                <c:pt idx="37">
                  <c:v>64.802490000000006</c:v>
                </c:pt>
                <c:pt idx="38">
                  <c:v>64.683327000000006</c:v>
                </c:pt>
                <c:pt idx="39">
                  <c:v>64.084618000000006</c:v>
                </c:pt>
                <c:pt idx="40">
                  <c:v>65.761634999999998</c:v>
                </c:pt>
                <c:pt idx="41">
                  <c:v>64.840255999999997</c:v>
                </c:pt>
                <c:pt idx="42">
                  <c:v>64.178359999999998</c:v>
                </c:pt>
                <c:pt idx="43">
                  <c:v>63.277416000000002</c:v>
                </c:pt>
                <c:pt idx="44">
                  <c:v>65.170012999999997</c:v>
                </c:pt>
                <c:pt idx="45">
                  <c:v>64.170029</c:v>
                </c:pt>
                <c:pt idx="46">
                  <c:v>63.168823000000003</c:v>
                </c:pt>
                <c:pt idx="47">
                  <c:v>62.007679000000003</c:v>
                </c:pt>
                <c:pt idx="48">
                  <c:v>60.308166999999997</c:v>
                </c:pt>
                <c:pt idx="49">
                  <c:v>59.471600000000002</c:v>
                </c:pt>
                <c:pt idx="50">
                  <c:v>60.881583999999997</c:v>
                </c:pt>
                <c:pt idx="51">
                  <c:v>60.279186000000003</c:v>
                </c:pt>
                <c:pt idx="52">
                  <c:v>58.951037999999997</c:v>
                </c:pt>
                <c:pt idx="53">
                  <c:v>59.191803</c:v>
                </c:pt>
                <c:pt idx="54">
                  <c:v>58.057583000000001</c:v>
                </c:pt>
                <c:pt idx="55">
                  <c:v>59.182929999999999</c:v>
                </c:pt>
                <c:pt idx="56">
                  <c:v>58.162059999999997</c:v>
                </c:pt>
                <c:pt idx="57">
                  <c:v>57.194267000000004</c:v>
                </c:pt>
                <c:pt idx="58">
                  <c:v>57.255608000000002</c:v>
                </c:pt>
                <c:pt idx="59">
                  <c:v>57.454101999999999</c:v>
                </c:pt>
                <c:pt idx="60">
                  <c:v>57.815734999999997</c:v>
                </c:pt>
                <c:pt idx="61">
                  <c:v>57.161017999999999</c:v>
                </c:pt>
                <c:pt idx="62">
                  <c:v>58.462273000000003</c:v>
                </c:pt>
                <c:pt idx="63">
                  <c:v>57.732025</c:v>
                </c:pt>
                <c:pt idx="64">
                  <c:v>57.886150000000001</c:v>
                </c:pt>
                <c:pt idx="65">
                  <c:v>58.336559000000001</c:v>
                </c:pt>
                <c:pt idx="66">
                  <c:v>57.589759999999998</c:v>
                </c:pt>
                <c:pt idx="67">
                  <c:v>56.926765000000003</c:v>
                </c:pt>
                <c:pt idx="68">
                  <c:v>57.769409000000003</c:v>
                </c:pt>
                <c:pt idx="69">
                  <c:v>58.893970000000003</c:v>
                </c:pt>
                <c:pt idx="70">
                  <c:v>56.868561</c:v>
                </c:pt>
                <c:pt idx="71">
                  <c:v>57.242595999999999</c:v>
                </c:pt>
                <c:pt idx="72">
                  <c:v>56.352631000000002</c:v>
                </c:pt>
                <c:pt idx="73">
                  <c:v>56.435402000000003</c:v>
                </c:pt>
                <c:pt idx="74">
                  <c:v>55.429248999999999</c:v>
                </c:pt>
                <c:pt idx="75">
                  <c:v>55.569954000000003</c:v>
                </c:pt>
                <c:pt idx="76">
                  <c:v>56.145439000000003</c:v>
                </c:pt>
                <c:pt idx="77">
                  <c:v>55.305916000000003</c:v>
                </c:pt>
                <c:pt idx="78">
                  <c:v>56.235095999999999</c:v>
                </c:pt>
                <c:pt idx="79">
                  <c:v>55.222355</c:v>
                </c:pt>
                <c:pt idx="80">
                  <c:v>54.188842999999999</c:v>
                </c:pt>
                <c:pt idx="81">
                  <c:v>53.910285999999999</c:v>
                </c:pt>
                <c:pt idx="82">
                  <c:v>53.942329000000001</c:v>
                </c:pt>
                <c:pt idx="83">
                  <c:v>54.092109999999998</c:v>
                </c:pt>
                <c:pt idx="84">
                  <c:v>52.994883999999999</c:v>
                </c:pt>
                <c:pt idx="85">
                  <c:v>50.610298</c:v>
                </c:pt>
                <c:pt idx="86">
                  <c:v>51.552619999999997</c:v>
                </c:pt>
                <c:pt idx="87">
                  <c:v>51.085814999999997</c:v>
                </c:pt>
                <c:pt idx="88">
                  <c:v>52.318665000000003</c:v>
                </c:pt>
                <c:pt idx="89">
                  <c:v>52.027554000000002</c:v>
                </c:pt>
                <c:pt idx="90">
                  <c:v>52.292712999999999</c:v>
                </c:pt>
                <c:pt idx="91">
                  <c:v>51.939658999999999</c:v>
                </c:pt>
                <c:pt idx="92">
                  <c:v>51.138221999999999</c:v>
                </c:pt>
                <c:pt idx="93">
                  <c:v>51.146782000000002</c:v>
                </c:pt>
                <c:pt idx="94">
                  <c:v>51.171264999999998</c:v>
                </c:pt>
                <c:pt idx="95">
                  <c:v>49.414482</c:v>
                </c:pt>
                <c:pt idx="96">
                  <c:v>50.208919999999999</c:v>
                </c:pt>
                <c:pt idx="97">
                  <c:v>50.501373000000001</c:v>
                </c:pt>
                <c:pt idx="98">
                  <c:v>49.297545999999997</c:v>
                </c:pt>
                <c:pt idx="99">
                  <c:v>49.061455000000002</c:v>
                </c:pt>
                <c:pt idx="100">
                  <c:v>49.211047999999998</c:v>
                </c:pt>
                <c:pt idx="101">
                  <c:v>48.714889999999997</c:v>
                </c:pt>
                <c:pt idx="102">
                  <c:v>49.235661</c:v>
                </c:pt>
                <c:pt idx="103">
                  <c:v>50.336880000000001</c:v>
                </c:pt>
                <c:pt idx="104">
                  <c:v>48.613410999999999</c:v>
                </c:pt>
                <c:pt idx="105">
                  <c:v>49.139961</c:v>
                </c:pt>
                <c:pt idx="106">
                  <c:v>49.246693</c:v>
                </c:pt>
                <c:pt idx="107">
                  <c:v>49.613415000000003</c:v>
                </c:pt>
                <c:pt idx="108">
                  <c:v>50.03886</c:v>
                </c:pt>
                <c:pt idx="109">
                  <c:v>48.733688000000001</c:v>
                </c:pt>
                <c:pt idx="110">
                  <c:v>48.030223999999997</c:v>
                </c:pt>
                <c:pt idx="111">
                  <c:v>48.189124999999997</c:v>
                </c:pt>
                <c:pt idx="112">
                  <c:v>47.856040999999998</c:v>
                </c:pt>
                <c:pt idx="113">
                  <c:v>47.302387000000003</c:v>
                </c:pt>
                <c:pt idx="114">
                  <c:v>48.165604000000002</c:v>
                </c:pt>
                <c:pt idx="115">
                  <c:v>47.752150999999998</c:v>
                </c:pt>
                <c:pt idx="116">
                  <c:v>47.171852000000001</c:v>
                </c:pt>
                <c:pt idx="117">
                  <c:v>47.881123000000002</c:v>
                </c:pt>
                <c:pt idx="118">
                  <c:v>48.280524999999997</c:v>
                </c:pt>
                <c:pt idx="119">
                  <c:v>46.684837000000002</c:v>
                </c:pt>
                <c:pt idx="120">
                  <c:v>43.755451000000001</c:v>
                </c:pt>
                <c:pt idx="121">
                  <c:v>43.552501999999997</c:v>
                </c:pt>
                <c:pt idx="122">
                  <c:v>43.270546000000003</c:v>
                </c:pt>
                <c:pt idx="123">
                  <c:v>42.247559000000003</c:v>
                </c:pt>
                <c:pt idx="124">
                  <c:v>41.151404999999997</c:v>
                </c:pt>
                <c:pt idx="125">
                  <c:v>40.918877000000002</c:v>
                </c:pt>
                <c:pt idx="126">
                  <c:v>40.054630000000003</c:v>
                </c:pt>
                <c:pt idx="127">
                  <c:v>39.089260000000003</c:v>
                </c:pt>
                <c:pt idx="128">
                  <c:v>39.160198000000001</c:v>
                </c:pt>
                <c:pt idx="129">
                  <c:v>40.298222000000003</c:v>
                </c:pt>
                <c:pt idx="130">
                  <c:v>39.619011</c:v>
                </c:pt>
                <c:pt idx="131">
                  <c:v>38.576690999999997</c:v>
                </c:pt>
                <c:pt idx="132">
                  <c:v>36.876987</c:v>
                </c:pt>
                <c:pt idx="133">
                  <c:v>35.998631000000003</c:v>
                </c:pt>
                <c:pt idx="134">
                  <c:v>35.610489000000001</c:v>
                </c:pt>
                <c:pt idx="135">
                  <c:v>35.357975000000003</c:v>
                </c:pt>
                <c:pt idx="136">
                  <c:v>36.070602000000001</c:v>
                </c:pt>
                <c:pt idx="137">
                  <c:v>34.844996999999999</c:v>
                </c:pt>
                <c:pt idx="138">
                  <c:v>33.292251999999998</c:v>
                </c:pt>
                <c:pt idx="139">
                  <c:v>32.611336000000001</c:v>
                </c:pt>
                <c:pt idx="140">
                  <c:v>32.511814000000001</c:v>
                </c:pt>
                <c:pt idx="141">
                  <c:v>30.828019999999999</c:v>
                </c:pt>
                <c:pt idx="142">
                  <c:v>30.51</c:v>
                </c:pt>
                <c:pt idx="143">
                  <c:v>30.467548000000001</c:v>
                </c:pt>
                <c:pt idx="144">
                  <c:v>27.113814999999999</c:v>
                </c:pt>
                <c:pt idx="145">
                  <c:v>25.804635999999999</c:v>
                </c:pt>
                <c:pt idx="146">
                  <c:v>25.462814000000002</c:v>
                </c:pt>
                <c:pt idx="147">
                  <c:v>26.169001000000002</c:v>
                </c:pt>
                <c:pt idx="148">
                  <c:v>24.727571000000001</c:v>
                </c:pt>
                <c:pt idx="149">
                  <c:v>21.470478</c:v>
                </c:pt>
                <c:pt idx="150">
                  <c:v>21.750886999999999</c:v>
                </c:pt>
                <c:pt idx="151">
                  <c:v>20.86619</c:v>
                </c:pt>
                <c:pt idx="152">
                  <c:v>20.046375000000001</c:v>
                </c:pt>
                <c:pt idx="153">
                  <c:v>19.418377</c:v>
                </c:pt>
                <c:pt idx="154">
                  <c:v>18.832075</c:v>
                </c:pt>
                <c:pt idx="155">
                  <c:v>18.258700999999999</c:v>
                </c:pt>
                <c:pt idx="156">
                  <c:v>16.814973999999999</c:v>
                </c:pt>
                <c:pt idx="157">
                  <c:v>16.253102999999999</c:v>
                </c:pt>
                <c:pt idx="158">
                  <c:v>16.961416</c:v>
                </c:pt>
                <c:pt idx="159">
                  <c:v>17.274515000000001</c:v>
                </c:pt>
                <c:pt idx="160">
                  <c:v>17.996174</c:v>
                </c:pt>
                <c:pt idx="161">
                  <c:v>17.082225999999999</c:v>
                </c:pt>
                <c:pt idx="162">
                  <c:v>16.682835000000001</c:v>
                </c:pt>
                <c:pt idx="163">
                  <c:v>17.113886000000001</c:v>
                </c:pt>
                <c:pt idx="164">
                  <c:v>17.549838999999999</c:v>
                </c:pt>
                <c:pt idx="165">
                  <c:v>15.624558</c:v>
                </c:pt>
                <c:pt idx="166">
                  <c:v>14.665661999999999</c:v>
                </c:pt>
                <c:pt idx="167">
                  <c:v>15.932425</c:v>
                </c:pt>
                <c:pt idx="168">
                  <c:v>15.732424</c:v>
                </c:pt>
                <c:pt idx="169">
                  <c:v>14.863536</c:v>
                </c:pt>
                <c:pt idx="170">
                  <c:v>14.523811</c:v>
                </c:pt>
                <c:pt idx="171">
                  <c:v>14.175563</c:v>
                </c:pt>
                <c:pt idx="172">
                  <c:v>13.337344</c:v>
                </c:pt>
                <c:pt idx="173">
                  <c:v>12.241237</c:v>
                </c:pt>
                <c:pt idx="174">
                  <c:v>12.6327</c:v>
                </c:pt>
                <c:pt idx="175">
                  <c:v>13.215989</c:v>
                </c:pt>
                <c:pt idx="176">
                  <c:v>12.6945</c:v>
                </c:pt>
                <c:pt idx="177">
                  <c:v>13.046638</c:v>
                </c:pt>
                <c:pt idx="178">
                  <c:v>12.855238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16-4763-B2E2-364513BD7387}"/>
            </c:ext>
          </c:extLst>
        </c:ser>
        <c:ser>
          <c:idx val="0"/>
          <c:order val="3"/>
          <c:tx>
            <c:strRef>
              <c:f>Auswertung!$F$6</c:f>
              <c:strCache>
                <c:ptCount val="1"/>
                <c:pt idx="0">
                  <c:v>OGC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179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</c:numCache>
            </c:numRef>
          </c:cat>
          <c:val>
            <c:numRef>
              <c:f>[0]!Datenbereich_Emissionen_OGC</c:f>
              <c:numCache>
                <c:formatCode>0.00</c:formatCode>
                <c:ptCount val="179"/>
                <c:pt idx="0">
                  <c:v>237.00871000000001</c:v>
                </c:pt>
                <c:pt idx="1">
                  <c:v>232.64804000000001</c:v>
                </c:pt>
                <c:pt idx="2">
                  <c:v>231.85164</c:v>
                </c:pt>
                <c:pt idx="3">
                  <c:v>206.53323</c:v>
                </c:pt>
                <c:pt idx="4">
                  <c:v>176.53980999999999</c:v>
                </c:pt>
                <c:pt idx="5">
                  <c:v>149.46728999999999</c:v>
                </c:pt>
                <c:pt idx="6">
                  <c:v>155.17429000000001</c:v>
                </c:pt>
                <c:pt idx="7">
                  <c:v>140.03647000000001</c:v>
                </c:pt>
                <c:pt idx="8">
                  <c:v>78.100136000000006</c:v>
                </c:pt>
                <c:pt idx="9">
                  <c:v>66.109215000000006</c:v>
                </c:pt>
                <c:pt idx="10">
                  <c:v>63.213450999999999</c:v>
                </c:pt>
                <c:pt idx="11">
                  <c:v>24.172577</c:v>
                </c:pt>
                <c:pt idx="12">
                  <c:v>17.820374000000001</c:v>
                </c:pt>
                <c:pt idx="13">
                  <c:v>15.269645000000001</c:v>
                </c:pt>
                <c:pt idx="14">
                  <c:v>13.793775</c:v>
                </c:pt>
                <c:pt idx="15">
                  <c:v>12.411451</c:v>
                </c:pt>
                <c:pt idx="16">
                  <c:v>11.697929</c:v>
                </c:pt>
                <c:pt idx="17">
                  <c:v>11.690552</c:v>
                </c:pt>
                <c:pt idx="18">
                  <c:v>10.373251</c:v>
                </c:pt>
                <c:pt idx="19">
                  <c:v>13.104675</c:v>
                </c:pt>
                <c:pt idx="20">
                  <c:v>15.107785</c:v>
                </c:pt>
                <c:pt idx="21">
                  <c:v>13.8483</c:v>
                </c:pt>
                <c:pt idx="22">
                  <c:v>13.07235</c:v>
                </c:pt>
                <c:pt idx="23">
                  <c:v>14.978071999999999</c:v>
                </c:pt>
                <c:pt idx="24">
                  <c:v>14.934752</c:v>
                </c:pt>
                <c:pt idx="25">
                  <c:v>15.974625</c:v>
                </c:pt>
                <c:pt idx="26">
                  <c:v>16.765426999999999</c:v>
                </c:pt>
                <c:pt idx="27">
                  <c:v>17.454999999999998</c:v>
                </c:pt>
                <c:pt idx="28">
                  <c:v>17.343824000000001</c:v>
                </c:pt>
                <c:pt idx="29">
                  <c:v>16.645052</c:v>
                </c:pt>
                <c:pt idx="30">
                  <c:v>16.165144000000002</c:v>
                </c:pt>
                <c:pt idx="31">
                  <c:v>16.574024000000001</c:v>
                </c:pt>
                <c:pt idx="32">
                  <c:v>14.472151</c:v>
                </c:pt>
                <c:pt idx="33">
                  <c:v>14.64015</c:v>
                </c:pt>
                <c:pt idx="34">
                  <c:v>14.610429</c:v>
                </c:pt>
                <c:pt idx="35">
                  <c:v>14.001676</c:v>
                </c:pt>
                <c:pt idx="36">
                  <c:v>12.903826</c:v>
                </c:pt>
                <c:pt idx="37">
                  <c:v>12.007501</c:v>
                </c:pt>
                <c:pt idx="38">
                  <c:v>12.81645</c:v>
                </c:pt>
                <c:pt idx="39">
                  <c:v>13.563226999999999</c:v>
                </c:pt>
                <c:pt idx="40">
                  <c:v>13.349788</c:v>
                </c:pt>
                <c:pt idx="41">
                  <c:v>12.953250000000001</c:v>
                </c:pt>
                <c:pt idx="42">
                  <c:v>13.294426</c:v>
                </c:pt>
                <c:pt idx="43">
                  <c:v>12.676427</c:v>
                </c:pt>
                <c:pt idx="44">
                  <c:v>11.878358</c:v>
                </c:pt>
                <c:pt idx="45">
                  <c:v>12.009074</c:v>
                </c:pt>
                <c:pt idx="46">
                  <c:v>11.171625000000001</c:v>
                </c:pt>
                <c:pt idx="47">
                  <c:v>11.175857000000001</c:v>
                </c:pt>
                <c:pt idx="48">
                  <c:v>10.997551</c:v>
                </c:pt>
                <c:pt idx="49">
                  <c:v>11.128575</c:v>
                </c:pt>
                <c:pt idx="50">
                  <c:v>10.477876999999999</c:v>
                </c:pt>
                <c:pt idx="51">
                  <c:v>11.786643</c:v>
                </c:pt>
                <c:pt idx="52">
                  <c:v>10.858499999999999</c:v>
                </c:pt>
                <c:pt idx="53">
                  <c:v>9.5408992999999995</c:v>
                </c:pt>
                <c:pt idx="54">
                  <c:v>9.7632855999999997</c:v>
                </c:pt>
                <c:pt idx="55">
                  <c:v>9.4790249000000006</c:v>
                </c:pt>
                <c:pt idx="56">
                  <c:v>10.000425</c:v>
                </c:pt>
                <c:pt idx="57">
                  <c:v>10.125449</c:v>
                </c:pt>
                <c:pt idx="58">
                  <c:v>9.8127154999999995</c:v>
                </c:pt>
                <c:pt idx="59">
                  <c:v>10.440977</c:v>
                </c:pt>
                <c:pt idx="60">
                  <c:v>10.068225</c:v>
                </c:pt>
                <c:pt idx="61">
                  <c:v>10.205571000000001</c:v>
                </c:pt>
                <c:pt idx="62">
                  <c:v>9.7164011000000006</c:v>
                </c:pt>
                <c:pt idx="63">
                  <c:v>8.9235009999999999</c:v>
                </c:pt>
                <c:pt idx="64">
                  <c:v>8.8802251999999999</c:v>
                </c:pt>
                <c:pt idx="65">
                  <c:v>10.107430000000001</c:v>
                </c:pt>
                <c:pt idx="66">
                  <c:v>9.7776002999999996</c:v>
                </c:pt>
                <c:pt idx="67">
                  <c:v>8.5792494000000001</c:v>
                </c:pt>
                <c:pt idx="68">
                  <c:v>6.7779287999999998</c:v>
                </c:pt>
                <c:pt idx="69">
                  <c:v>6.7888503</c:v>
                </c:pt>
                <c:pt idx="70">
                  <c:v>7.7050504999999996</c:v>
                </c:pt>
                <c:pt idx="71">
                  <c:v>7.7416505999999998</c:v>
                </c:pt>
                <c:pt idx="72">
                  <c:v>8.3142861999999997</c:v>
                </c:pt>
                <c:pt idx="73">
                  <c:v>8.5026016000000002</c:v>
                </c:pt>
                <c:pt idx="74">
                  <c:v>7.0233755000000002</c:v>
                </c:pt>
                <c:pt idx="75">
                  <c:v>6.5155721</c:v>
                </c:pt>
                <c:pt idx="76">
                  <c:v>6.4017004999999996</c:v>
                </c:pt>
                <c:pt idx="77">
                  <c:v>6.6658505999999997</c:v>
                </c:pt>
                <c:pt idx="78">
                  <c:v>5.2176752000000004</c:v>
                </c:pt>
                <c:pt idx="79">
                  <c:v>5.2640723999999999</c:v>
                </c:pt>
                <c:pt idx="80">
                  <c:v>4.1301002999999996</c:v>
                </c:pt>
                <c:pt idx="81">
                  <c:v>3.4907249999999999</c:v>
                </c:pt>
                <c:pt idx="82">
                  <c:v>3.5900713999999998</c:v>
                </c:pt>
                <c:pt idx="83">
                  <c:v>3.5376751</c:v>
                </c:pt>
                <c:pt idx="84">
                  <c:v>3.6179996000000001</c:v>
                </c:pt>
                <c:pt idx="85">
                  <c:v>3.4088577999999998</c:v>
                </c:pt>
                <c:pt idx="86">
                  <c:v>3.5307007000000001</c:v>
                </c:pt>
                <c:pt idx="87">
                  <c:v>3.2373753000000001</c:v>
                </c:pt>
                <c:pt idx="88">
                  <c:v>3.0632253</c:v>
                </c:pt>
                <c:pt idx="89">
                  <c:v>3.2989286999999998</c:v>
                </c:pt>
                <c:pt idx="90">
                  <c:v>2.6977503</c:v>
                </c:pt>
                <c:pt idx="91">
                  <c:v>2.7585001</c:v>
                </c:pt>
                <c:pt idx="92">
                  <c:v>2.5887752000000002</c:v>
                </c:pt>
                <c:pt idx="93">
                  <c:v>2.6749290999999999</c:v>
                </c:pt>
                <c:pt idx="94">
                  <c:v>2.5393500000000002</c:v>
                </c:pt>
                <c:pt idx="95">
                  <c:v>2.3343748999999998</c:v>
                </c:pt>
                <c:pt idx="96">
                  <c:v>2.1708571999999999</c:v>
                </c:pt>
                <c:pt idx="97">
                  <c:v>1.9118249</c:v>
                </c:pt>
                <c:pt idx="98">
                  <c:v>2.1738753000000002</c:v>
                </c:pt>
                <c:pt idx="99">
                  <c:v>1.9989284</c:v>
                </c:pt>
                <c:pt idx="100">
                  <c:v>1.8943502999999999</c:v>
                </c:pt>
                <c:pt idx="101">
                  <c:v>1.9095001</c:v>
                </c:pt>
                <c:pt idx="102">
                  <c:v>1.8746248000000001</c:v>
                </c:pt>
                <c:pt idx="103">
                  <c:v>1.7855715000000001</c:v>
                </c:pt>
                <c:pt idx="104">
                  <c:v>1.9571251000000001</c:v>
                </c:pt>
                <c:pt idx="105">
                  <c:v>2.0358002000000002</c:v>
                </c:pt>
                <c:pt idx="106">
                  <c:v>2.1506430999999999</c:v>
                </c:pt>
                <c:pt idx="107">
                  <c:v>2.0353498000000001</c:v>
                </c:pt>
                <c:pt idx="108">
                  <c:v>1.7900254</c:v>
                </c:pt>
                <c:pt idx="109">
                  <c:v>1.7847</c:v>
                </c:pt>
                <c:pt idx="110">
                  <c:v>1.7860003</c:v>
                </c:pt>
                <c:pt idx="111">
                  <c:v>1.7817749000000001</c:v>
                </c:pt>
                <c:pt idx="112">
                  <c:v>1.781925</c:v>
                </c:pt>
                <c:pt idx="113">
                  <c:v>1.7827142</c:v>
                </c:pt>
                <c:pt idx="114">
                  <c:v>1.7839501</c:v>
                </c:pt>
                <c:pt idx="115">
                  <c:v>1.7871748999999999</c:v>
                </c:pt>
                <c:pt idx="116">
                  <c:v>1.7852252</c:v>
                </c:pt>
                <c:pt idx="117">
                  <c:v>1.7864287000000001</c:v>
                </c:pt>
                <c:pt idx="118">
                  <c:v>2.0093253</c:v>
                </c:pt>
                <c:pt idx="119">
                  <c:v>1.781625</c:v>
                </c:pt>
                <c:pt idx="120">
                  <c:v>1.7787143000000001</c:v>
                </c:pt>
                <c:pt idx="121">
                  <c:v>1.7775749000000001</c:v>
                </c:pt>
                <c:pt idx="122">
                  <c:v>1.7814000000000001</c:v>
                </c:pt>
                <c:pt idx="123">
                  <c:v>1.7800499999999999</c:v>
                </c:pt>
                <c:pt idx="124">
                  <c:v>1.7742144</c:v>
                </c:pt>
                <c:pt idx="125">
                  <c:v>1.9212750999999999</c:v>
                </c:pt>
                <c:pt idx="126">
                  <c:v>1.7835751</c:v>
                </c:pt>
                <c:pt idx="127">
                  <c:v>2.1599286000000002</c:v>
                </c:pt>
                <c:pt idx="128">
                  <c:v>2.2402500999999999</c:v>
                </c:pt>
                <c:pt idx="129">
                  <c:v>2.5545000999999998</c:v>
                </c:pt>
                <c:pt idx="130">
                  <c:v>2.2537498</c:v>
                </c:pt>
                <c:pt idx="131">
                  <c:v>2.1684283999999998</c:v>
                </c:pt>
                <c:pt idx="132">
                  <c:v>2.2664254000000001</c:v>
                </c:pt>
                <c:pt idx="133">
                  <c:v>2.1633</c:v>
                </c:pt>
                <c:pt idx="134">
                  <c:v>2.4742145999999998</c:v>
                </c:pt>
                <c:pt idx="135">
                  <c:v>2.2054501000000002</c:v>
                </c:pt>
                <c:pt idx="136">
                  <c:v>2.1658501999999999</c:v>
                </c:pt>
                <c:pt idx="137">
                  <c:v>2.7754500000000002</c:v>
                </c:pt>
                <c:pt idx="138">
                  <c:v>3.0342859999999998</c:v>
                </c:pt>
                <c:pt idx="139">
                  <c:v>3.5892002999999999</c:v>
                </c:pt>
                <c:pt idx="140">
                  <c:v>3.3264751000000001</c:v>
                </c:pt>
                <c:pt idx="141">
                  <c:v>2.9476429999999998</c:v>
                </c:pt>
                <c:pt idx="142">
                  <c:v>2.9963255000000002</c:v>
                </c:pt>
                <c:pt idx="143">
                  <c:v>3.3372006000000001</c:v>
                </c:pt>
                <c:pt idx="144">
                  <c:v>3.2247002</c:v>
                </c:pt>
                <c:pt idx="145">
                  <c:v>3.2395713000000002</c:v>
                </c:pt>
                <c:pt idx="146">
                  <c:v>3.8186252000000001</c:v>
                </c:pt>
                <c:pt idx="147">
                  <c:v>4.3626747000000003</c:v>
                </c:pt>
                <c:pt idx="148">
                  <c:v>4.6474289999999998</c:v>
                </c:pt>
                <c:pt idx="149">
                  <c:v>4.9353746999999997</c:v>
                </c:pt>
                <c:pt idx="150">
                  <c:v>5.3985747999999996</c:v>
                </c:pt>
                <c:pt idx="151">
                  <c:v>5.5759287000000004</c:v>
                </c:pt>
                <c:pt idx="152">
                  <c:v>6.1500750000000002</c:v>
                </c:pt>
                <c:pt idx="153">
                  <c:v>6.6780762999999999</c:v>
                </c:pt>
                <c:pt idx="154">
                  <c:v>9.0680999999999994</c:v>
                </c:pt>
                <c:pt idx="155">
                  <c:v>8.1440009999999994</c:v>
                </c:pt>
                <c:pt idx="156">
                  <c:v>9.2889748000000001</c:v>
                </c:pt>
                <c:pt idx="157">
                  <c:v>8.7805499999999999</c:v>
                </c:pt>
                <c:pt idx="158">
                  <c:v>7.5156431000000001</c:v>
                </c:pt>
                <c:pt idx="159">
                  <c:v>7.4161501000000003</c:v>
                </c:pt>
                <c:pt idx="160">
                  <c:v>7.5998254000000003</c:v>
                </c:pt>
                <c:pt idx="161">
                  <c:v>6.7341743000000003</c:v>
                </c:pt>
                <c:pt idx="162">
                  <c:v>5.9091439000000001</c:v>
                </c:pt>
                <c:pt idx="163">
                  <c:v>5.5299000999999999</c:v>
                </c:pt>
                <c:pt idx="164">
                  <c:v>5.8156499999999998</c:v>
                </c:pt>
                <c:pt idx="165">
                  <c:v>6.0147858000000003</c:v>
                </c:pt>
                <c:pt idx="166">
                  <c:v>6.0663004000000003</c:v>
                </c:pt>
                <c:pt idx="167">
                  <c:v>6.4722757</c:v>
                </c:pt>
                <c:pt idx="168">
                  <c:v>6.7678504000000004</c:v>
                </c:pt>
                <c:pt idx="169">
                  <c:v>7.3069290999999996</c:v>
                </c:pt>
                <c:pt idx="170">
                  <c:v>7.9709244000000004</c:v>
                </c:pt>
                <c:pt idx="171">
                  <c:v>8.3915997000000004</c:v>
                </c:pt>
                <c:pt idx="172">
                  <c:v>9.1434277999999996</c:v>
                </c:pt>
                <c:pt idx="173">
                  <c:v>9.8026505000000004</c:v>
                </c:pt>
                <c:pt idx="174">
                  <c:v>10.9299</c:v>
                </c:pt>
                <c:pt idx="175">
                  <c:v>11.173215000000001</c:v>
                </c:pt>
                <c:pt idx="176">
                  <c:v>12.677251</c:v>
                </c:pt>
                <c:pt idx="177">
                  <c:v>12.531075</c:v>
                </c:pt>
                <c:pt idx="178">
                  <c:v>12.118277000000001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16-4763-B2E2-364513BD7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40832"/>
        <c:axId val="220455296"/>
      </c:lineChart>
      <c:lineChart>
        <c:grouping val="standard"/>
        <c:varyColors val="0"/>
        <c:ser>
          <c:idx val="1"/>
          <c:order val="0"/>
          <c:tx>
            <c:strRef>
              <c:f>Auswertung!$C$6</c:f>
              <c:strCache>
                <c:ptCount val="1"/>
                <c:pt idx="0">
                  <c:v>CO2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179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</c:numCache>
            </c:numRef>
          </c:cat>
          <c:val>
            <c:numRef>
              <c:f>[0]!Datenbereich_Emissionen_COzwei</c:f>
              <c:numCache>
                <c:formatCode>0.00</c:formatCode>
                <c:ptCount val="179"/>
                <c:pt idx="0">
                  <c:v>3.3287289000000002</c:v>
                </c:pt>
                <c:pt idx="1">
                  <c:v>3.5899166999999998</c:v>
                </c:pt>
                <c:pt idx="2">
                  <c:v>3.8397408</c:v>
                </c:pt>
                <c:pt idx="3">
                  <c:v>4.1694969999999998</c:v>
                </c:pt>
                <c:pt idx="4">
                  <c:v>4.3873376999999998</c:v>
                </c:pt>
                <c:pt idx="5">
                  <c:v>4.7985262999999998</c:v>
                </c:pt>
                <c:pt idx="6">
                  <c:v>5.4467325000000004</c:v>
                </c:pt>
                <c:pt idx="7">
                  <c:v>6.1760187000000002</c:v>
                </c:pt>
                <c:pt idx="8">
                  <c:v>7.0528040000000001</c:v>
                </c:pt>
                <c:pt idx="9">
                  <c:v>7.1292682000000003</c:v>
                </c:pt>
                <c:pt idx="10">
                  <c:v>7.1979141000000002</c:v>
                </c:pt>
                <c:pt idx="11">
                  <c:v>7.7372269999999999</c:v>
                </c:pt>
                <c:pt idx="12">
                  <c:v>8.1424798999999997</c:v>
                </c:pt>
                <c:pt idx="13">
                  <c:v>8.1906967000000002</c:v>
                </c:pt>
                <c:pt idx="14">
                  <c:v>8.3944206000000001</c:v>
                </c:pt>
                <c:pt idx="15">
                  <c:v>8.5071010999999999</c:v>
                </c:pt>
                <c:pt idx="16">
                  <c:v>8.6155194999999996</c:v>
                </c:pt>
                <c:pt idx="17">
                  <c:v>8.9753761000000001</c:v>
                </c:pt>
                <c:pt idx="18">
                  <c:v>8.8052033999999999</c:v>
                </c:pt>
                <c:pt idx="19">
                  <c:v>9.3365849999999995</c:v>
                </c:pt>
                <c:pt idx="20">
                  <c:v>10.032512000000001</c:v>
                </c:pt>
                <c:pt idx="21">
                  <c:v>10.110391999999999</c:v>
                </c:pt>
                <c:pt idx="22">
                  <c:v>9.5329131999999994</c:v>
                </c:pt>
                <c:pt idx="23">
                  <c:v>9.5225247999999993</c:v>
                </c:pt>
                <c:pt idx="24">
                  <c:v>9.60534</c:v>
                </c:pt>
                <c:pt idx="25">
                  <c:v>9.8444699999999994</c:v>
                </c:pt>
                <c:pt idx="26">
                  <c:v>9.9659928999999998</c:v>
                </c:pt>
                <c:pt idx="27">
                  <c:v>10.148619</c:v>
                </c:pt>
                <c:pt idx="28">
                  <c:v>10.134104000000001</c:v>
                </c:pt>
                <c:pt idx="29">
                  <c:v>10.238761999999999</c:v>
                </c:pt>
                <c:pt idx="30">
                  <c:v>10.006752000000001</c:v>
                </c:pt>
                <c:pt idx="31">
                  <c:v>10.07958</c:v>
                </c:pt>
                <c:pt idx="32">
                  <c:v>9.9342469999999992</c:v>
                </c:pt>
                <c:pt idx="33">
                  <c:v>10.402158999999999</c:v>
                </c:pt>
                <c:pt idx="34">
                  <c:v>10.304842000000001</c:v>
                </c:pt>
                <c:pt idx="35">
                  <c:v>10.627485999999999</c:v>
                </c:pt>
                <c:pt idx="36">
                  <c:v>10.847792</c:v>
                </c:pt>
                <c:pt idx="37">
                  <c:v>10.937388</c:v>
                </c:pt>
                <c:pt idx="38">
                  <c:v>10.891142</c:v>
                </c:pt>
                <c:pt idx="39">
                  <c:v>10.808707999999999</c:v>
                </c:pt>
                <c:pt idx="40">
                  <c:v>11.107991999999999</c:v>
                </c:pt>
                <c:pt idx="41">
                  <c:v>11.021242000000001</c:v>
                </c:pt>
                <c:pt idx="42">
                  <c:v>11.024176000000001</c:v>
                </c:pt>
                <c:pt idx="43">
                  <c:v>10.982996</c:v>
                </c:pt>
                <c:pt idx="44">
                  <c:v>11.151077000000001</c:v>
                </c:pt>
                <c:pt idx="45">
                  <c:v>11.132102</c:v>
                </c:pt>
                <c:pt idx="46">
                  <c:v>11.128152999999999</c:v>
                </c:pt>
                <c:pt idx="47">
                  <c:v>11.141164</c:v>
                </c:pt>
                <c:pt idx="48">
                  <c:v>10.903772999999999</c:v>
                </c:pt>
                <c:pt idx="49">
                  <c:v>11.066435</c:v>
                </c:pt>
                <c:pt idx="50">
                  <c:v>10.881084</c:v>
                </c:pt>
                <c:pt idx="51">
                  <c:v>10.939678000000001</c:v>
                </c:pt>
                <c:pt idx="52">
                  <c:v>11.001106999999999</c:v>
                </c:pt>
                <c:pt idx="53">
                  <c:v>10.629591</c:v>
                </c:pt>
                <c:pt idx="54">
                  <c:v>10.627770999999999</c:v>
                </c:pt>
                <c:pt idx="55">
                  <c:v>10.768846999999999</c:v>
                </c:pt>
                <c:pt idx="56">
                  <c:v>10.725529</c:v>
                </c:pt>
                <c:pt idx="57">
                  <c:v>10.710623</c:v>
                </c:pt>
                <c:pt idx="58">
                  <c:v>10.497725000000001</c:v>
                </c:pt>
                <c:pt idx="59">
                  <c:v>10.468213</c:v>
                </c:pt>
                <c:pt idx="60">
                  <c:v>10.21269</c:v>
                </c:pt>
                <c:pt idx="61">
                  <c:v>10.458436000000001</c:v>
                </c:pt>
                <c:pt idx="62">
                  <c:v>10.54757</c:v>
                </c:pt>
                <c:pt idx="63">
                  <c:v>10.188257</c:v>
                </c:pt>
                <c:pt idx="64">
                  <c:v>10.209705</c:v>
                </c:pt>
                <c:pt idx="65">
                  <c:v>10.68004</c:v>
                </c:pt>
                <c:pt idx="66">
                  <c:v>10.550314999999999</c:v>
                </c:pt>
                <c:pt idx="67">
                  <c:v>10.400325</c:v>
                </c:pt>
                <c:pt idx="68">
                  <c:v>10.187969000000001</c:v>
                </c:pt>
                <c:pt idx="69">
                  <c:v>9.9589329000000006</c:v>
                </c:pt>
                <c:pt idx="70">
                  <c:v>9.9342251000000008</c:v>
                </c:pt>
                <c:pt idx="71">
                  <c:v>9.6056404000000004</c:v>
                </c:pt>
                <c:pt idx="72">
                  <c:v>9.6712570000000007</c:v>
                </c:pt>
                <c:pt idx="73">
                  <c:v>9.4498643999999992</c:v>
                </c:pt>
                <c:pt idx="74">
                  <c:v>9.5016327</c:v>
                </c:pt>
                <c:pt idx="75">
                  <c:v>9.3708457999999997</c:v>
                </c:pt>
                <c:pt idx="76">
                  <c:v>9.1787051999999996</c:v>
                </c:pt>
                <c:pt idx="77">
                  <c:v>9.1084995000000006</c:v>
                </c:pt>
                <c:pt idx="78">
                  <c:v>8.9269914999999997</c:v>
                </c:pt>
                <c:pt idx="79">
                  <c:v>8.8360491000000003</c:v>
                </c:pt>
                <c:pt idx="80">
                  <c:v>8.6316079999999999</c:v>
                </c:pt>
                <c:pt idx="81">
                  <c:v>8.2158622999999995</c:v>
                </c:pt>
                <c:pt idx="82">
                  <c:v>8.2314042999999995</c:v>
                </c:pt>
                <c:pt idx="83">
                  <c:v>8.1743746000000002</c:v>
                </c:pt>
                <c:pt idx="84">
                  <c:v>8.1267414000000002</c:v>
                </c:pt>
                <c:pt idx="85">
                  <c:v>8.0692692000000008</c:v>
                </c:pt>
                <c:pt idx="86">
                  <c:v>7.8732324</c:v>
                </c:pt>
                <c:pt idx="87">
                  <c:v>7.8057746999999997</c:v>
                </c:pt>
                <c:pt idx="88">
                  <c:v>7.8006539000000004</c:v>
                </c:pt>
                <c:pt idx="89">
                  <c:v>7.6821513000000001</c:v>
                </c:pt>
                <c:pt idx="90">
                  <c:v>7.6667775999999996</c:v>
                </c:pt>
                <c:pt idx="91">
                  <c:v>7.5806073999999999</c:v>
                </c:pt>
                <c:pt idx="92">
                  <c:v>7.4592666999999997</c:v>
                </c:pt>
                <c:pt idx="93">
                  <c:v>7.5271783000000001</c:v>
                </c:pt>
                <c:pt idx="94">
                  <c:v>7.5610518000000004</c:v>
                </c:pt>
                <c:pt idx="95">
                  <c:v>7.5255747</c:v>
                </c:pt>
                <c:pt idx="96">
                  <c:v>7.4312201</c:v>
                </c:pt>
                <c:pt idx="97">
                  <c:v>7.2434082000000002</c:v>
                </c:pt>
                <c:pt idx="98">
                  <c:v>7.1300749999999997</c:v>
                </c:pt>
                <c:pt idx="99">
                  <c:v>7.2310752999999997</c:v>
                </c:pt>
                <c:pt idx="100">
                  <c:v>7.3171476999999996</c:v>
                </c:pt>
                <c:pt idx="101">
                  <c:v>7.1503509999999997</c:v>
                </c:pt>
                <c:pt idx="102">
                  <c:v>7.0929479999999998</c:v>
                </c:pt>
                <c:pt idx="103">
                  <c:v>7.0166864000000002</c:v>
                </c:pt>
                <c:pt idx="104">
                  <c:v>6.9957732999999998</c:v>
                </c:pt>
                <c:pt idx="105">
                  <c:v>6.9725241999999996</c:v>
                </c:pt>
                <c:pt idx="106">
                  <c:v>7.0718617000000004</c:v>
                </c:pt>
                <c:pt idx="107">
                  <c:v>7.0578241000000004</c:v>
                </c:pt>
                <c:pt idx="108">
                  <c:v>7.0356015999999997</c:v>
                </c:pt>
                <c:pt idx="109">
                  <c:v>6.9291204999999998</c:v>
                </c:pt>
                <c:pt idx="110">
                  <c:v>6.9115434000000002</c:v>
                </c:pt>
                <c:pt idx="111">
                  <c:v>6.8910241000000001</c:v>
                </c:pt>
                <c:pt idx="112">
                  <c:v>6.7543221000000004</c:v>
                </c:pt>
                <c:pt idx="113">
                  <c:v>6.7444943999999998</c:v>
                </c:pt>
                <c:pt idx="114">
                  <c:v>6.7846351</c:v>
                </c:pt>
                <c:pt idx="115">
                  <c:v>6.7232985000000003</c:v>
                </c:pt>
                <c:pt idx="116">
                  <c:v>6.5993814000000004</c:v>
                </c:pt>
                <c:pt idx="117">
                  <c:v>6.6636062000000003</c:v>
                </c:pt>
                <c:pt idx="118">
                  <c:v>6.7201934000000003</c:v>
                </c:pt>
                <c:pt idx="119">
                  <c:v>6.3958019999999998</c:v>
                </c:pt>
                <c:pt idx="120">
                  <c:v>6.0099629999999999</c:v>
                </c:pt>
                <c:pt idx="121">
                  <c:v>5.9254189000000004</c:v>
                </c:pt>
                <c:pt idx="122">
                  <c:v>5.7630185999999997</c:v>
                </c:pt>
                <c:pt idx="123">
                  <c:v>5.6647281999999999</c:v>
                </c:pt>
                <c:pt idx="124">
                  <c:v>5.5659803999999999</c:v>
                </c:pt>
                <c:pt idx="125">
                  <c:v>5.4908184999999996</c:v>
                </c:pt>
                <c:pt idx="126">
                  <c:v>5.3886231999999996</c:v>
                </c:pt>
                <c:pt idx="127">
                  <c:v>5.3604484000000001</c:v>
                </c:pt>
                <c:pt idx="128">
                  <c:v>5.3196367999999996</c:v>
                </c:pt>
                <c:pt idx="129">
                  <c:v>5.3294940000000004</c:v>
                </c:pt>
                <c:pt idx="130">
                  <c:v>5.2294412000000001</c:v>
                </c:pt>
                <c:pt idx="131">
                  <c:v>5.1675272000000003</c:v>
                </c:pt>
                <c:pt idx="132">
                  <c:v>5.0917982999999998</c:v>
                </c:pt>
                <c:pt idx="133">
                  <c:v>4.9834665999999999</c:v>
                </c:pt>
                <c:pt idx="134">
                  <c:v>4.9286627999999997</c:v>
                </c:pt>
                <c:pt idx="135">
                  <c:v>4.9821672000000001</c:v>
                </c:pt>
                <c:pt idx="136">
                  <c:v>4.8621702000000004</c:v>
                </c:pt>
                <c:pt idx="137">
                  <c:v>4.7856550000000002</c:v>
                </c:pt>
                <c:pt idx="138">
                  <c:v>4.6988358000000003</c:v>
                </c:pt>
                <c:pt idx="139">
                  <c:v>4.6561804000000002</c:v>
                </c:pt>
                <c:pt idx="140">
                  <c:v>4.6311096999999997</c:v>
                </c:pt>
                <c:pt idx="141">
                  <c:v>4.6192650999999998</c:v>
                </c:pt>
                <c:pt idx="142">
                  <c:v>4.6185327000000003</c:v>
                </c:pt>
                <c:pt idx="143">
                  <c:v>4.5203829000000004</c:v>
                </c:pt>
                <c:pt idx="144">
                  <c:v>4.4350939</c:v>
                </c:pt>
                <c:pt idx="145">
                  <c:v>4.2617425999999998</c:v>
                </c:pt>
                <c:pt idx="146">
                  <c:v>4.0637540999999997</c:v>
                </c:pt>
                <c:pt idx="147">
                  <c:v>3.9526336</c:v>
                </c:pt>
                <c:pt idx="148">
                  <c:v>3.867537</c:v>
                </c:pt>
                <c:pt idx="149">
                  <c:v>3.7687271</c:v>
                </c:pt>
                <c:pt idx="150">
                  <c:v>3.7445911999999999</c:v>
                </c:pt>
                <c:pt idx="151">
                  <c:v>3.6783822000000002</c:v>
                </c:pt>
                <c:pt idx="152">
                  <c:v>3.6497383000000001</c:v>
                </c:pt>
                <c:pt idx="153">
                  <c:v>3.6232039999999999</c:v>
                </c:pt>
                <c:pt idx="154">
                  <c:v>3.6215386000000001</c:v>
                </c:pt>
                <c:pt idx="155">
                  <c:v>3.6234076000000002</c:v>
                </c:pt>
                <c:pt idx="156">
                  <c:v>3.5879664</c:v>
                </c:pt>
                <c:pt idx="157">
                  <c:v>3.5869700999999998</c:v>
                </c:pt>
                <c:pt idx="158">
                  <c:v>3.5673792</c:v>
                </c:pt>
                <c:pt idx="159">
                  <c:v>3.543396</c:v>
                </c:pt>
                <c:pt idx="160">
                  <c:v>3.5281532000000002</c:v>
                </c:pt>
                <c:pt idx="161">
                  <c:v>3.5111332000000002</c:v>
                </c:pt>
                <c:pt idx="162">
                  <c:v>3.4929781000000002</c:v>
                </c:pt>
                <c:pt idx="163">
                  <c:v>3.4943000999999998</c:v>
                </c:pt>
                <c:pt idx="164">
                  <c:v>3.4407000999999999</c:v>
                </c:pt>
                <c:pt idx="165">
                  <c:v>3.4111153999999999</c:v>
                </c:pt>
                <c:pt idx="166">
                  <c:v>3.4132601999999999</c:v>
                </c:pt>
                <c:pt idx="167">
                  <c:v>3.3997052000000001</c:v>
                </c:pt>
                <c:pt idx="168">
                  <c:v>3.3309712</c:v>
                </c:pt>
                <c:pt idx="169">
                  <c:v>3.2444712999999998</c:v>
                </c:pt>
                <c:pt idx="170">
                  <c:v>3.2121531999999999</c:v>
                </c:pt>
                <c:pt idx="171">
                  <c:v>3.1218368999999999</c:v>
                </c:pt>
                <c:pt idx="172">
                  <c:v>3.1092091000000002</c:v>
                </c:pt>
                <c:pt idx="173">
                  <c:v>3.0728621</c:v>
                </c:pt>
                <c:pt idx="174">
                  <c:v>3.0286143000000001</c:v>
                </c:pt>
                <c:pt idx="175">
                  <c:v>3.0092932999999999</c:v>
                </c:pt>
                <c:pt idx="176">
                  <c:v>3.0184443000000001</c:v>
                </c:pt>
                <c:pt idx="177">
                  <c:v>2.9829061000000001</c:v>
                </c:pt>
                <c:pt idx="178">
                  <c:v>2.9783732999999999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16-4763-B2E2-364513BD7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48704"/>
        <c:axId val="220457216"/>
      </c:lineChart>
      <c:catAx>
        <c:axId val="22044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Zeit (hh:mm)</a:t>
                </a:r>
              </a:p>
            </c:rich>
          </c:tx>
          <c:layout>
            <c:manualLayout>
              <c:xMode val="edge"/>
              <c:yMode val="edge"/>
              <c:x val="0.40624994868342179"/>
              <c:y val="0.93602693602693599"/>
            </c:manualLayout>
          </c:layout>
          <c:overlay val="0"/>
          <c:spPr>
            <a:noFill/>
            <a:ln w="25400">
              <a:noFill/>
            </a:ln>
          </c:spPr>
        </c:title>
        <c:numFmt formatCode="h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0455296"/>
        <c:crossesAt val="0"/>
        <c:auto val="1"/>
        <c:lblAlgn val="ctr"/>
        <c:lblOffset val="100"/>
        <c:tickLblSkip val="45"/>
        <c:tickMarkSkip val="45"/>
        <c:noMultiLvlLbl val="1"/>
      </c:catAx>
      <c:valAx>
        <c:axId val="22045529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CO, NO, OGC (ppm)</a:t>
                </a:r>
              </a:p>
            </c:rich>
          </c:tx>
          <c:layout>
            <c:manualLayout>
              <c:xMode val="edge"/>
              <c:yMode val="edge"/>
              <c:x val="1.0416690614403127E-2"/>
              <c:y val="0.382154882154882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0440832"/>
        <c:crossesAt val="0"/>
        <c:crossBetween val="between"/>
      </c:valAx>
      <c:valAx>
        <c:axId val="22045721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 sz="1200" b="1" i="0" baseline="0">
                    <a:effectLst/>
                  </a:rPr>
                  <a:t>CO2 (%)</a:t>
                </a:r>
                <a:endParaRPr lang="de-AT" sz="12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AT" sz="120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229048704"/>
        <c:crosses val="max"/>
        <c:crossBetween val="between"/>
      </c:valAx>
      <c:catAx>
        <c:axId val="229048704"/>
        <c:scaling>
          <c:orientation val="minMax"/>
        </c:scaling>
        <c:delete val="1"/>
        <c:axPos val="b"/>
        <c:numFmt formatCode="h:mm:ss" sourceLinked="1"/>
        <c:majorTickMark val="out"/>
        <c:minorTickMark val="none"/>
        <c:tickLblPos val="nextTo"/>
        <c:crossAx val="22045721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5502596464081"/>
          <c:y val="0.13299657669574189"/>
          <c:w val="8.2265438416922548E-2"/>
          <c:h val="0.14422168702763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Auswertung!$Y$24</c:f>
          <c:strCache>
            <c:ptCount val="1"/>
            <c:pt idx="0">
              <c:v> - Nennlast  14.10.2020</c:v>
            </c:pt>
          </c:strCache>
        </c:strRef>
      </c:tx>
      <c:layout>
        <c:manualLayout>
          <c:xMode val="edge"/>
          <c:yMode val="edge"/>
          <c:x val="0.2781250654824749"/>
          <c:y val="4.5523873699622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035606347568887"/>
          <c:y val="0.13553922241494773"/>
          <c:w val="0.71836082925662947"/>
          <c:h val="0.75252525252525282"/>
        </c:manualLayout>
      </c:layout>
      <c:lineChart>
        <c:grouping val="standard"/>
        <c:varyColors val="0"/>
        <c:ser>
          <c:idx val="1"/>
          <c:order val="0"/>
          <c:tx>
            <c:strRef>
              <c:f>Auswertung!$G$6</c:f>
              <c:strCache>
                <c:ptCount val="1"/>
                <c:pt idx="0">
                  <c:v>tAbgas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179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</c:numCache>
            </c:numRef>
          </c:cat>
          <c:val>
            <c:numRef>
              <c:f>[0]!Datenbereich_Emissionen_Temp_Abgas</c:f>
              <c:numCache>
                <c:formatCode>0.0</c:formatCode>
                <c:ptCount val="179"/>
                <c:pt idx="0">
                  <c:v>130.285</c:v>
                </c:pt>
                <c:pt idx="1">
                  <c:v>133.81095999999999</c:v>
                </c:pt>
                <c:pt idx="2">
                  <c:v>136.93449000000001</c:v>
                </c:pt>
                <c:pt idx="3">
                  <c:v>140.16849999999999</c:v>
                </c:pt>
                <c:pt idx="4">
                  <c:v>142.78191000000001</c:v>
                </c:pt>
                <c:pt idx="5">
                  <c:v>145.79149000000001</c:v>
                </c:pt>
                <c:pt idx="6">
                  <c:v>149.09998999999999</c:v>
                </c:pt>
                <c:pt idx="7">
                  <c:v>151.93801999999999</c:v>
                </c:pt>
                <c:pt idx="8">
                  <c:v>155.35046</c:v>
                </c:pt>
                <c:pt idx="9">
                  <c:v>157.82499999999999</c:v>
                </c:pt>
                <c:pt idx="10">
                  <c:v>159.33099000000001</c:v>
                </c:pt>
                <c:pt idx="11">
                  <c:v>161.56426999999999</c:v>
                </c:pt>
                <c:pt idx="12">
                  <c:v>163.93201999999999</c:v>
                </c:pt>
                <c:pt idx="13">
                  <c:v>165.9325</c:v>
                </c:pt>
                <c:pt idx="14">
                  <c:v>167.57051000000001</c:v>
                </c:pt>
                <c:pt idx="15">
                  <c:v>169.46143000000001</c:v>
                </c:pt>
                <c:pt idx="16">
                  <c:v>171.297</c:v>
                </c:pt>
                <c:pt idx="17">
                  <c:v>172.4915</c:v>
                </c:pt>
                <c:pt idx="18">
                  <c:v>173.76903999999999</c:v>
                </c:pt>
                <c:pt idx="19">
                  <c:v>175.49849</c:v>
                </c:pt>
                <c:pt idx="20">
                  <c:v>177.15899999999999</c:v>
                </c:pt>
                <c:pt idx="21">
                  <c:v>178.49802</c:v>
                </c:pt>
                <c:pt idx="22">
                  <c:v>179.3938</c:v>
                </c:pt>
                <c:pt idx="23">
                  <c:v>179.97449</c:v>
                </c:pt>
                <c:pt idx="24">
                  <c:v>180.32002</c:v>
                </c:pt>
                <c:pt idx="25">
                  <c:v>181.02238</c:v>
                </c:pt>
                <c:pt idx="26">
                  <c:v>182.173</c:v>
                </c:pt>
                <c:pt idx="27">
                  <c:v>183.29001</c:v>
                </c:pt>
                <c:pt idx="28">
                  <c:v>184.23399000000001</c:v>
                </c:pt>
                <c:pt idx="29">
                  <c:v>185.18476999999999</c:v>
                </c:pt>
                <c:pt idx="30">
                  <c:v>186.01499999999999</c:v>
                </c:pt>
                <c:pt idx="31">
                  <c:v>186.59601000000001</c:v>
                </c:pt>
                <c:pt idx="32">
                  <c:v>187.30286000000001</c:v>
                </c:pt>
                <c:pt idx="33">
                  <c:v>188.27847</c:v>
                </c:pt>
                <c:pt idx="34">
                  <c:v>189.7415</c:v>
                </c:pt>
                <c:pt idx="35">
                  <c:v>191.96857</c:v>
                </c:pt>
                <c:pt idx="36">
                  <c:v>193.56451000000001</c:v>
                </c:pt>
                <c:pt idx="37">
                  <c:v>194.63503</c:v>
                </c:pt>
                <c:pt idx="38">
                  <c:v>195.18149</c:v>
                </c:pt>
                <c:pt idx="39">
                  <c:v>195.93571</c:v>
                </c:pt>
                <c:pt idx="40">
                  <c:v>196.97299000000001</c:v>
                </c:pt>
                <c:pt idx="41">
                  <c:v>197.6525</c:v>
                </c:pt>
                <c:pt idx="42">
                  <c:v>198.60095000000001</c:v>
                </c:pt>
                <c:pt idx="43">
                  <c:v>199.68401</c:v>
                </c:pt>
                <c:pt idx="44">
                  <c:v>199.7</c:v>
                </c:pt>
                <c:pt idx="45">
                  <c:v>199.92098999999999</c:v>
                </c:pt>
                <c:pt idx="46">
                  <c:v>200.30047999999999</c:v>
                </c:pt>
                <c:pt idx="47">
                  <c:v>201.94248999999999</c:v>
                </c:pt>
                <c:pt idx="48">
                  <c:v>203.59598</c:v>
                </c:pt>
                <c:pt idx="49">
                  <c:v>204.90478999999999</c:v>
                </c:pt>
                <c:pt idx="50">
                  <c:v>205.12151</c:v>
                </c:pt>
                <c:pt idx="51">
                  <c:v>204.96254999999999</c:v>
                </c:pt>
                <c:pt idx="52">
                  <c:v>205.07397</c:v>
                </c:pt>
                <c:pt idx="53">
                  <c:v>205.19333</c:v>
                </c:pt>
                <c:pt idx="54">
                  <c:v>205.06049999999999</c:v>
                </c:pt>
                <c:pt idx="55">
                  <c:v>207.24301</c:v>
                </c:pt>
                <c:pt idx="56">
                  <c:v>208.19807</c:v>
                </c:pt>
                <c:pt idx="57">
                  <c:v>208.42699999999999</c:v>
                </c:pt>
                <c:pt idx="58">
                  <c:v>208.60946999999999</c:v>
                </c:pt>
                <c:pt idx="59">
                  <c:v>208.56899999999999</c:v>
                </c:pt>
                <c:pt idx="60">
                  <c:v>208.75763000000001</c:v>
                </c:pt>
                <c:pt idx="61">
                  <c:v>209.92497</c:v>
                </c:pt>
                <c:pt idx="62">
                  <c:v>211.04199</c:v>
                </c:pt>
                <c:pt idx="63">
                  <c:v>212.02097000000001</c:v>
                </c:pt>
                <c:pt idx="64">
                  <c:v>211.81853000000001</c:v>
                </c:pt>
                <c:pt idx="65">
                  <c:v>210.84151</c:v>
                </c:pt>
                <c:pt idx="66">
                  <c:v>210.63149999999999</c:v>
                </c:pt>
                <c:pt idx="67">
                  <c:v>211.06618</c:v>
                </c:pt>
                <c:pt idx="68">
                  <c:v>211.56851</c:v>
                </c:pt>
                <c:pt idx="69">
                  <c:v>211.92348999999999</c:v>
                </c:pt>
                <c:pt idx="70">
                  <c:v>211.87904</c:v>
                </c:pt>
                <c:pt idx="71">
                  <c:v>211.49350000000001</c:v>
                </c:pt>
                <c:pt idx="72">
                  <c:v>210.87601000000001</c:v>
                </c:pt>
                <c:pt idx="73">
                  <c:v>210.55901</c:v>
                </c:pt>
                <c:pt idx="74">
                  <c:v>210.54713000000001</c:v>
                </c:pt>
                <c:pt idx="75">
                  <c:v>210.60500999999999</c:v>
                </c:pt>
                <c:pt idx="76">
                  <c:v>211.18350000000001</c:v>
                </c:pt>
                <c:pt idx="77">
                  <c:v>211.12952999999999</c:v>
                </c:pt>
                <c:pt idx="78">
                  <c:v>210.62</c:v>
                </c:pt>
                <c:pt idx="79">
                  <c:v>209.81100000000001</c:v>
                </c:pt>
                <c:pt idx="80">
                  <c:v>209.26858999999999</c:v>
                </c:pt>
                <c:pt idx="81">
                  <c:v>208.99495999999999</c:v>
                </c:pt>
                <c:pt idx="82">
                  <c:v>209.0145</c:v>
                </c:pt>
                <c:pt idx="83">
                  <c:v>209.02099999999999</c:v>
                </c:pt>
                <c:pt idx="84">
                  <c:v>209.10095000000001</c:v>
                </c:pt>
                <c:pt idx="85">
                  <c:v>208.3175</c:v>
                </c:pt>
                <c:pt idx="86">
                  <c:v>207.91301000000001</c:v>
                </c:pt>
                <c:pt idx="87">
                  <c:v>207.55001999999999</c:v>
                </c:pt>
                <c:pt idx="88">
                  <c:v>207.53299999999999</c:v>
                </c:pt>
                <c:pt idx="89">
                  <c:v>207.72855000000001</c:v>
                </c:pt>
                <c:pt idx="90">
                  <c:v>207.81801999999999</c:v>
                </c:pt>
                <c:pt idx="91">
                  <c:v>206.87047000000001</c:v>
                </c:pt>
                <c:pt idx="92">
                  <c:v>206.03198</c:v>
                </c:pt>
                <c:pt idx="93">
                  <c:v>205.49503000000001</c:v>
                </c:pt>
                <c:pt idx="94">
                  <c:v>205.05001999999999</c:v>
                </c:pt>
                <c:pt idx="95">
                  <c:v>204.87253000000001</c:v>
                </c:pt>
                <c:pt idx="96">
                  <c:v>205.01546999999999</c:v>
                </c:pt>
                <c:pt idx="97">
                  <c:v>205.37398999999999</c:v>
                </c:pt>
                <c:pt idx="98">
                  <c:v>205.20192</c:v>
                </c:pt>
                <c:pt idx="99">
                  <c:v>204.78700000000001</c:v>
                </c:pt>
                <c:pt idx="100">
                  <c:v>204.48098999999999</c:v>
                </c:pt>
                <c:pt idx="101">
                  <c:v>204.02950999999999</c:v>
                </c:pt>
                <c:pt idx="102">
                  <c:v>203.75951000000001</c:v>
                </c:pt>
                <c:pt idx="103">
                  <c:v>203.73201</c:v>
                </c:pt>
                <c:pt idx="104">
                  <c:v>203.65450000000001</c:v>
                </c:pt>
                <c:pt idx="105">
                  <c:v>203.44666000000001</c:v>
                </c:pt>
                <c:pt idx="106">
                  <c:v>202.77600000000001</c:v>
                </c:pt>
                <c:pt idx="107">
                  <c:v>202.44649999999999</c:v>
                </c:pt>
                <c:pt idx="108">
                  <c:v>201.94952000000001</c:v>
                </c:pt>
                <c:pt idx="109">
                  <c:v>201.77199999999999</c:v>
                </c:pt>
                <c:pt idx="110">
                  <c:v>201.95999</c:v>
                </c:pt>
                <c:pt idx="111">
                  <c:v>201.76850999999999</c:v>
                </c:pt>
                <c:pt idx="112">
                  <c:v>201.45096000000001</c:v>
                </c:pt>
                <c:pt idx="113">
                  <c:v>200.74100999999999</c:v>
                </c:pt>
                <c:pt idx="114">
                  <c:v>199.9675</c:v>
                </c:pt>
                <c:pt idx="115">
                  <c:v>199.65568999999999</c:v>
                </c:pt>
                <c:pt idx="116">
                  <c:v>199.52298999999999</c:v>
                </c:pt>
                <c:pt idx="117">
                  <c:v>199.64201</c:v>
                </c:pt>
                <c:pt idx="118">
                  <c:v>199.08749</c:v>
                </c:pt>
                <c:pt idx="119">
                  <c:v>198.42475999999999</c:v>
                </c:pt>
                <c:pt idx="120">
                  <c:v>197.92</c:v>
                </c:pt>
                <c:pt idx="121">
                  <c:v>197.57953000000001</c:v>
                </c:pt>
                <c:pt idx="122">
                  <c:v>196.86474999999999</c:v>
                </c:pt>
                <c:pt idx="123">
                  <c:v>196.52753000000001</c:v>
                </c:pt>
                <c:pt idx="124">
                  <c:v>196.548</c:v>
                </c:pt>
                <c:pt idx="125">
                  <c:v>196.3535</c:v>
                </c:pt>
                <c:pt idx="126">
                  <c:v>195.99808999999999</c:v>
                </c:pt>
                <c:pt idx="127">
                  <c:v>195.39151000000001</c:v>
                </c:pt>
                <c:pt idx="128">
                  <c:v>194.75998999999999</c:v>
                </c:pt>
                <c:pt idx="129">
                  <c:v>194.55475999999999</c:v>
                </c:pt>
                <c:pt idx="130">
                  <c:v>194.55052000000001</c:v>
                </c:pt>
                <c:pt idx="131">
                  <c:v>194.48050000000001</c:v>
                </c:pt>
                <c:pt idx="132">
                  <c:v>194.22620000000001</c:v>
                </c:pt>
                <c:pt idx="133">
                  <c:v>193.61098999999999</c:v>
                </c:pt>
                <c:pt idx="134">
                  <c:v>192.94050999999999</c:v>
                </c:pt>
                <c:pt idx="135">
                  <c:v>192.50201000000001</c:v>
                </c:pt>
                <c:pt idx="136">
                  <c:v>191.92097000000001</c:v>
                </c:pt>
                <c:pt idx="137">
                  <c:v>191.43251000000001</c:v>
                </c:pt>
                <c:pt idx="138">
                  <c:v>191.34851</c:v>
                </c:pt>
                <c:pt idx="139">
                  <c:v>191.06145000000001</c:v>
                </c:pt>
                <c:pt idx="140">
                  <c:v>190.61850000000001</c:v>
                </c:pt>
                <c:pt idx="141">
                  <c:v>189.92500000000001</c:v>
                </c:pt>
                <c:pt idx="142">
                  <c:v>189.38947999999999</c:v>
                </c:pt>
                <c:pt idx="143">
                  <c:v>188.77762000000001</c:v>
                </c:pt>
                <c:pt idx="144">
                  <c:v>188.21798999999999</c:v>
                </c:pt>
                <c:pt idx="145">
                  <c:v>187.69750999999999</c:v>
                </c:pt>
                <c:pt idx="146">
                  <c:v>187.08524</c:v>
                </c:pt>
                <c:pt idx="147">
                  <c:v>186.31351000000001</c:v>
                </c:pt>
                <c:pt idx="148">
                  <c:v>185.48651000000001</c:v>
                </c:pt>
                <c:pt idx="149">
                  <c:v>184.57301000000001</c:v>
                </c:pt>
                <c:pt idx="150">
                  <c:v>183.77288999999999</c:v>
                </c:pt>
                <c:pt idx="151">
                  <c:v>183.25649999999999</c:v>
                </c:pt>
                <c:pt idx="152">
                  <c:v>182.80199999999999</c:v>
                </c:pt>
                <c:pt idx="153">
                  <c:v>182.22475</c:v>
                </c:pt>
                <c:pt idx="154">
                  <c:v>181.62752</c:v>
                </c:pt>
                <c:pt idx="155">
                  <c:v>180.92402999999999</c:v>
                </c:pt>
                <c:pt idx="156">
                  <c:v>180.17350999999999</c:v>
                </c:pt>
                <c:pt idx="157">
                  <c:v>179.48953</c:v>
                </c:pt>
                <c:pt idx="158">
                  <c:v>179.00798</c:v>
                </c:pt>
                <c:pt idx="159">
                  <c:v>178.65200999999999</c:v>
                </c:pt>
                <c:pt idx="160">
                  <c:v>178.19381999999999</c:v>
                </c:pt>
                <c:pt idx="161">
                  <c:v>177.65601000000001</c:v>
                </c:pt>
                <c:pt idx="162">
                  <c:v>177.00301999999999</c:v>
                </c:pt>
                <c:pt idx="163">
                  <c:v>176.37</c:v>
                </c:pt>
                <c:pt idx="164">
                  <c:v>175.79855000000001</c:v>
                </c:pt>
                <c:pt idx="165">
                  <c:v>175.42801</c:v>
                </c:pt>
                <c:pt idx="166">
                  <c:v>175.01199</c:v>
                </c:pt>
                <c:pt idx="167">
                  <c:v>174.48903999999999</c:v>
                </c:pt>
                <c:pt idx="168">
                  <c:v>173.85701</c:v>
                </c:pt>
                <c:pt idx="169">
                  <c:v>173.10348999999999</c:v>
                </c:pt>
                <c:pt idx="170">
                  <c:v>172.18904000000001</c:v>
                </c:pt>
                <c:pt idx="171">
                  <c:v>171.43299999999999</c:v>
                </c:pt>
                <c:pt idx="172">
                  <c:v>170.86801</c:v>
                </c:pt>
                <c:pt idx="173">
                  <c:v>170.452</c:v>
                </c:pt>
                <c:pt idx="174">
                  <c:v>169.97855999999999</c:v>
                </c:pt>
                <c:pt idx="175">
                  <c:v>169.4025</c:v>
                </c:pt>
                <c:pt idx="176">
                  <c:v>168.73401000000001</c:v>
                </c:pt>
                <c:pt idx="177">
                  <c:v>168.01382000000001</c:v>
                </c:pt>
                <c:pt idx="178">
                  <c:v>167.41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E0D-4E44-9B4E-85F504CB46BD}"/>
            </c:ext>
          </c:extLst>
        </c:ser>
        <c:ser>
          <c:idx val="2"/>
          <c:order val="1"/>
          <c:tx>
            <c:strRef>
              <c:f>Auswertung!$H$6</c:f>
              <c:strCache>
                <c:ptCount val="1"/>
                <c:pt idx="0">
                  <c:v>tRaum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179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</c:numCache>
            </c:numRef>
          </c:cat>
          <c:val>
            <c:numRef>
              <c:f>[0]!Datenbereich_Emissionen_Temp_Raum</c:f>
              <c:numCache>
                <c:formatCode>0.0</c:formatCode>
                <c:ptCount val="179"/>
                <c:pt idx="0">
                  <c:v>26.447997999999998</c:v>
                </c:pt>
                <c:pt idx="1">
                  <c:v>26.396189</c:v>
                </c:pt>
                <c:pt idx="2">
                  <c:v>26.360498</c:v>
                </c:pt>
                <c:pt idx="3">
                  <c:v>26.266500000000001</c:v>
                </c:pt>
                <c:pt idx="4">
                  <c:v>26.147621000000001</c:v>
                </c:pt>
                <c:pt idx="5">
                  <c:v>26.074503</c:v>
                </c:pt>
                <c:pt idx="6">
                  <c:v>26.056004000000001</c:v>
                </c:pt>
                <c:pt idx="7">
                  <c:v>26.037998000000002</c:v>
                </c:pt>
                <c:pt idx="8">
                  <c:v>26.028096999999999</c:v>
                </c:pt>
                <c:pt idx="9">
                  <c:v>26.039000999999999</c:v>
                </c:pt>
                <c:pt idx="10">
                  <c:v>26.01</c:v>
                </c:pt>
                <c:pt idx="11">
                  <c:v>26.017621999999999</c:v>
                </c:pt>
                <c:pt idx="12">
                  <c:v>25.934000000000001</c:v>
                </c:pt>
                <c:pt idx="13">
                  <c:v>25.898001000000001</c:v>
                </c:pt>
                <c:pt idx="14">
                  <c:v>25.884501</c:v>
                </c:pt>
                <c:pt idx="15">
                  <c:v>25.874762</c:v>
                </c:pt>
                <c:pt idx="16">
                  <c:v>25.859501000000002</c:v>
                </c:pt>
                <c:pt idx="17">
                  <c:v>25.840499999999999</c:v>
                </c:pt>
                <c:pt idx="18">
                  <c:v>25.810473999999999</c:v>
                </c:pt>
                <c:pt idx="19">
                  <c:v>25.763500000000001</c:v>
                </c:pt>
                <c:pt idx="20">
                  <c:v>25.749995999999999</c:v>
                </c:pt>
                <c:pt idx="21">
                  <c:v>25.747997000000002</c:v>
                </c:pt>
                <c:pt idx="22">
                  <c:v>25.733809000000001</c:v>
                </c:pt>
                <c:pt idx="23">
                  <c:v>25.744999</c:v>
                </c:pt>
                <c:pt idx="24">
                  <c:v>25.719501000000001</c:v>
                </c:pt>
                <c:pt idx="25">
                  <c:v>25.690474999999999</c:v>
                </c:pt>
                <c:pt idx="26">
                  <c:v>25.635000000000002</c:v>
                </c:pt>
                <c:pt idx="27">
                  <c:v>25.646001999999999</c:v>
                </c:pt>
                <c:pt idx="28">
                  <c:v>25.664000999999999</c:v>
                </c:pt>
                <c:pt idx="29">
                  <c:v>25.714762</c:v>
                </c:pt>
                <c:pt idx="30">
                  <c:v>25.734997</c:v>
                </c:pt>
                <c:pt idx="31">
                  <c:v>25.724003</c:v>
                </c:pt>
                <c:pt idx="32">
                  <c:v>25.744285999999999</c:v>
                </c:pt>
                <c:pt idx="33">
                  <c:v>25.761499000000001</c:v>
                </c:pt>
                <c:pt idx="34">
                  <c:v>25.768000000000001</c:v>
                </c:pt>
                <c:pt idx="35">
                  <c:v>25.759998</c:v>
                </c:pt>
                <c:pt idx="36">
                  <c:v>25.739498000000001</c:v>
                </c:pt>
                <c:pt idx="37">
                  <c:v>25.707998</c:v>
                </c:pt>
                <c:pt idx="38">
                  <c:v>25.688500999999999</c:v>
                </c:pt>
                <c:pt idx="39">
                  <c:v>25.661428000000001</c:v>
                </c:pt>
                <c:pt idx="40">
                  <c:v>25.676497999999999</c:v>
                </c:pt>
                <c:pt idx="41">
                  <c:v>25.676998000000001</c:v>
                </c:pt>
                <c:pt idx="42">
                  <c:v>25.700478</c:v>
                </c:pt>
                <c:pt idx="43">
                  <c:v>25.690999999999999</c:v>
                </c:pt>
                <c:pt idx="44">
                  <c:v>25.742999999999999</c:v>
                </c:pt>
                <c:pt idx="45">
                  <c:v>25.766504000000001</c:v>
                </c:pt>
                <c:pt idx="46">
                  <c:v>25.775713</c:v>
                </c:pt>
                <c:pt idx="47">
                  <c:v>25.767502</c:v>
                </c:pt>
                <c:pt idx="48">
                  <c:v>25.797001000000002</c:v>
                </c:pt>
                <c:pt idx="49">
                  <c:v>25.810476000000001</c:v>
                </c:pt>
                <c:pt idx="50">
                  <c:v>25.816502</c:v>
                </c:pt>
                <c:pt idx="51">
                  <c:v>25.836995999999999</c:v>
                </c:pt>
                <c:pt idx="52">
                  <c:v>25.844501000000001</c:v>
                </c:pt>
                <c:pt idx="53">
                  <c:v>25.879999000000002</c:v>
                </c:pt>
                <c:pt idx="54">
                  <c:v>25.905003000000001</c:v>
                </c:pt>
                <c:pt idx="55">
                  <c:v>25.970998999999999</c:v>
                </c:pt>
                <c:pt idx="56">
                  <c:v>25.963329000000002</c:v>
                </c:pt>
                <c:pt idx="57">
                  <c:v>25.934998</c:v>
                </c:pt>
                <c:pt idx="58">
                  <c:v>25.947500000000002</c:v>
                </c:pt>
                <c:pt idx="59">
                  <c:v>25.927999</c:v>
                </c:pt>
                <c:pt idx="60">
                  <c:v>25.918096999999999</c:v>
                </c:pt>
                <c:pt idx="61">
                  <c:v>26.009003</c:v>
                </c:pt>
                <c:pt idx="62">
                  <c:v>25.987997</c:v>
                </c:pt>
                <c:pt idx="63">
                  <c:v>25.912379999999999</c:v>
                </c:pt>
                <c:pt idx="64">
                  <c:v>25.857997999999998</c:v>
                </c:pt>
                <c:pt idx="65">
                  <c:v>25.923999999999999</c:v>
                </c:pt>
                <c:pt idx="66">
                  <c:v>25.903997</c:v>
                </c:pt>
                <c:pt idx="67">
                  <c:v>25.871904000000001</c:v>
                </c:pt>
                <c:pt idx="68">
                  <c:v>25.872</c:v>
                </c:pt>
                <c:pt idx="69">
                  <c:v>25.929500999999998</c:v>
                </c:pt>
                <c:pt idx="70">
                  <c:v>25.897141000000001</c:v>
                </c:pt>
                <c:pt idx="71">
                  <c:v>25.877497000000002</c:v>
                </c:pt>
                <c:pt idx="72">
                  <c:v>25.943501000000001</c:v>
                </c:pt>
                <c:pt idx="73">
                  <c:v>25.963501000000001</c:v>
                </c:pt>
                <c:pt idx="74">
                  <c:v>25.956665000000001</c:v>
                </c:pt>
                <c:pt idx="75">
                  <c:v>25.978999999999999</c:v>
                </c:pt>
                <c:pt idx="76">
                  <c:v>26.002499</c:v>
                </c:pt>
                <c:pt idx="77">
                  <c:v>26.010475</c:v>
                </c:pt>
                <c:pt idx="78">
                  <c:v>26.037998000000002</c:v>
                </c:pt>
                <c:pt idx="79">
                  <c:v>26.062504000000001</c:v>
                </c:pt>
                <c:pt idx="80">
                  <c:v>26.038574000000001</c:v>
                </c:pt>
                <c:pt idx="81">
                  <c:v>26.092499</c:v>
                </c:pt>
                <c:pt idx="82">
                  <c:v>26.129999000000002</c:v>
                </c:pt>
                <c:pt idx="83">
                  <c:v>26.092499</c:v>
                </c:pt>
                <c:pt idx="84">
                  <c:v>26.155235000000001</c:v>
                </c:pt>
                <c:pt idx="85">
                  <c:v>26.174997000000001</c:v>
                </c:pt>
                <c:pt idx="86">
                  <c:v>26.172497</c:v>
                </c:pt>
                <c:pt idx="87">
                  <c:v>26.235711999999999</c:v>
                </c:pt>
                <c:pt idx="88">
                  <c:v>26.197001</c:v>
                </c:pt>
                <c:pt idx="89">
                  <c:v>26.196503</c:v>
                </c:pt>
                <c:pt idx="90">
                  <c:v>26.253</c:v>
                </c:pt>
                <c:pt idx="91">
                  <c:v>26.24</c:v>
                </c:pt>
                <c:pt idx="92">
                  <c:v>26.298999999999999</c:v>
                </c:pt>
                <c:pt idx="93">
                  <c:v>26.366501</c:v>
                </c:pt>
                <c:pt idx="94">
                  <c:v>26.371428000000002</c:v>
                </c:pt>
                <c:pt idx="95">
                  <c:v>26.414997</c:v>
                </c:pt>
                <c:pt idx="96">
                  <c:v>26.449498999999999</c:v>
                </c:pt>
                <c:pt idx="97">
                  <c:v>26.457498999999999</c:v>
                </c:pt>
                <c:pt idx="98">
                  <c:v>26.469045999999999</c:v>
                </c:pt>
                <c:pt idx="99">
                  <c:v>26.448999000000001</c:v>
                </c:pt>
                <c:pt idx="100">
                  <c:v>26.423999999999999</c:v>
                </c:pt>
                <c:pt idx="101">
                  <c:v>26.440474999999999</c:v>
                </c:pt>
                <c:pt idx="102">
                  <c:v>26.452496</c:v>
                </c:pt>
                <c:pt idx="103">
                  <c:v>26.446498999999999</c:v>
                </c:pt>
                <c:pt idx="104">
                  <c:v>26.505005000000001</c:v>
                </c:pt>
                <c:pt idx="105">
                  <c:v>26.519047</c:v>
                </c:pt>
                <c:pt idx="106">
                  <c:v>26.530003000000001</c:v>
                </c:pt>
                <c:pt idx="107">
                  <c:v>26.620498999999999</c:v>
                </c:pt>
                <c:pt idx="108">
                  <c:v>26.662382000000001</c:v>
                </c:pt>
                <c:pt idx="109">
                  <c:v>26.682001</c:v>
                </c:pt>
                <c:pt idx="110">
                  <c:v>26.801497999999999</c:v>
                </c:pt>
                <c:pt idx="111">
                  <c:v>26.861999999999998</c:v>
                </c:pt>
                <c:pt idx="112">
                  <c:v>26.886669000000001</c:v>
                </c:pt>
                <c:pt idx="113">
                  <c:v>27.044499999999999</c:v>
                </c:pt>
                <c:pt idx="114">
                  <c:v>27.086002000000001</c:v>
                </c:pt>
                <c:pt idx="115">
                  <c:v>27.141907</c:v>
                </c:pt>
                <c:pt idx="116">
                  <c:v>27.296001</c:v>
                </c:pt>
                <c:pt idx="117">
                  <c:v>27.320999</c:v>
                </c:pt>
                <c:pt idx="118">
                  <c:v>27.342998999999999</c:v>
                </c:pt>
                <c:pt idx="119">
                  <c:v>27.426190999999999</c:v>
                </c:pt>
                <c:pt idx="120">
                  <c:v>27.483499999999999</c:v>
                </c:pt>
                <c:pt idx="121">
                  <c:v>27.504501000000001</c:v>
                </c:pt>
                <c:pt idx="122">
                  <c:v>27.570001999999999</c:v>
                </c:pt>
                <c:pt idx="123">
                  <c:v>27.644998999999999</c:v>
                </c:pt>
                <c:pt idx="124">
                  <c:v>27.661498999999999</c:v>
                </c:pt>
                <c:pt idx="125">
                  <c:v>27.701502000000001</c:v>
                </c:pt>
                <c:pt idx="126">
                  <c:v>27.766666000000001</c:v>
                </c:pt>
                <c:pt idx="127">
                  <c:v>27.810002999999998</c:v>
                </c:pt>
                <c:pt idx="128">
                  <c:v>27.824497000000001</c:v>
                </c:pt>
                <c:pt idx="129">
                  <c:v>27.927144999999999</c:v>
                </c:pt>
                <c:pt idx="130">
                  <c:v>27.952002</c:v>
                </c:pt>
                <c:pt idx="131">
                  <c:v>27.962</c:v>
                </c:pt>
                <c:pt idx="132">
                  <c:v>28.010475</c:v>
                </c:pt>
                <c:pt idx="133">
                  <c:v>28.075496999999999</c:v>
                </c:pt>
                <c:pt idx="134">
                  <c:v>28.067499000000002</c:v>
                </c:pt>
                <c:pt idx="135">
                  <c:v>28.064997000000002</c:v>
                </c:pt>
                <c:pt idx="136">
                  <c:v>28.123335000000001</c:v>
                </c:pt>
                <c:pt idx="137">
                  <c:v>28.189999</c:v>
                </c:pt>
                <c:pt idx="138">
                  <c:v>28.191497999999999</c:v>
                </c:pt>
                <c:pt idx="139">
                  <c:v>28.164757000000002</c:v>
                </c:pt>
                <c:pt idx="140">
                  <c:v>28.229498</c:v>
                </c:pt>
                <c:pt idx="141">
                  <c:v>28.272003000000002</c:v>
                </c:pt>
                <c:pt idx="142">
                  <c:v>28.259501</c:v>
                </c:pt>
                <c:pt idx="143">
                  <c:v>28.258573999999999</c:v>
                </c:pt>
                <c:pt idx="144">
                  <c:v>28.284500000000001</c:v>
                </c:pt>
                <c:pt idx="145">
                  <c:v>28.346496999999999</c:v>
                </c:pt>
                <c:pt idx="146">
                  <c:v>28.335711</c:v>
                </c:pt>
                <c:pt idx="147">
                  <c:v>28.314999</c:v>
                </c:pt>
                <c:pt idx="148">
                  <c:v>28.287502</c:v>
                </c:pt>
                <c:pt idx="149">
                  <c:v>28.318497000000001</c:v>
                </c:pt>
                <c:pt idx="150">
                  <c:v>28.382856</c:v>
                </c:pt>
                <c:pt idx="151">
                  <c:v>28.376000999999999</c:v>
                </c:pt>
                <c:pt idx="152">
                  <c:v>28.343499999999999</c:v>
                </c:pt>
                <c:pt idx="153">
                  <c:v>28.337143000000001</c:v>
                </c:pt>
                <c:pt idx="154">
                  <c:v>28.340496000000002</c:v>
                </c:pt>
                <c:pt idx="155">
                  <c:v>28.332998</c:v>
                </c:pt>
                <c:pt idx="156">
                  <c:v>28.404501</c:v>
                </c:pt>
                <c:pt idx="157">
                  <c:v>28.397621000000001</c:v>
                </c:pt>
                <c:pt idx="158">
                  <c:v>28.383998999999999</c:v>
                </c:pt>
                <c:pt idx="159">
                  <c:v>28.385000000000002</c:v>
                </c:pt>
                <c:pt idx="160">
                  <c:v>28.351901999999999</c:v>
                </c:pt>
                <c:pt idx="161">
                  <c:v>28.347003999999998</c:v>
                </c:pt>
                <c:pt idx="162">
                  <c:v>28.344996999999999</c:v>
                </c:pt>
                <c:pt idx="163">
                  <c:v>28.359501000000002</c:v>
                </c:pt>
                <c:pt idx="164">
                  <c:v>28.373331</c:v>
                </c:pt>
                <c:pt idx="165">
                  <c:v>28.413997999999999</c:v>
                </c:pt>
                <c:pt idx="166">
                  <c:v>28.396001999999999</c:v>
                </c:pt>
                <c:pt idx="167">
                  <c:v>28.385237</c:v>
                </c:pt>
                <c:pt idx="168">
                  <c:v>28.378</c:v>
                </c:pt>
                <c:pt idx="169">
                  <c:v>28.376498999999999</c:v>
                </c:pt>
                <c:pt idx="170">
                  <c:v>28.36619</c:v>
                </c:pt>
                <c:pt idx="171">
                  <c:v>28.347998</c:v>
                </c:pt>
                <c:pt idx="172">
                  <c:v>28.337</c:v>
                </c:pt>
                <c:pt idx="173">
                  <c:v>28.366496999999999</c:v>
                </c:pt>
                <c:pt idx="174">
                  <c:v>28.346662999999999</c:v>
                </c:pt>
                <c:pt idx="175">
                  <c:v>28.336501999999999</c:v>
                </c:pt>
                <c:pt idx="176">
                  <c:v>28.326498000000001</c:v>
                </c:pt>
                <c:pt idx="177">
                  <c:v>28.290482000000001</c:v>
                </c:pt>
                <c:pt idx="178">
                  <c:v>28.283000999999999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E0D-4E44-9B4E-85F504CB4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122432"/>
        <c:axId val="229124352"/>
      </c:lineChart>
      <c:catAx>
        <c:axId val="22912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Zeit (hh:mm)</a:t>
                </a:r>
              </a:p>
            </c:rich>
          </c:tx>
          <c:layout>
            <c:manualLayout>
              <c:xMode val="edge"/>
              <c:yMode val="edge"/>
              <c:x val="0.40624994868342179"/>
              <c:y val="0.93602693602693599"/>
            </c:manualLayout>
          </c:layout>
          <c:overlay val="0"/>
          <c:spPr>
            <a:noFill/>
            <a:ln w="25400">
              <a:noFill/>
            </a:ln>
          </c:spPr>
        </c:title>
        <c:numFmt formatCode="h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9124352"/>
        <c:crossesAt val="0"/>
        <c:auto val="1"/>
        <c:lblAlgn val="ctr"/>
        <c:lblOffset val="100"/>
        <c:tickLblSkip val="45"/>
        <c:tickMarkSkip val="45"/>
        <c:noMultiLvlLbl val="1"/>
      </c:catAx>
      <c:valAx>
        <c:axId val="22912435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</a:t>
                </a:r>
                <a:r>
                  <a:rPr lang="en-US" baseline="0"/>
                  <a:t> (°C)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699194330493746E-2"/>
              <c:y val="0.401172325725528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9122432"/>
        <c:crossesAt val="0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89109895039984"/>
          <c:y val="0.13299663299663306"/>
          <c:w val="0.10805868304332994"/>
          <c:h val="0.14422168702763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m3"/>
  <sheetViews>
    <sheetView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m4"/>
  <sheetViews>
    <sheetView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0.80925</cdr:x>
      <cdr:y>0.53</cdr:y>
    </cdr:from>
    <cdr:to>
      <cdr:x>0.8175</cdr:x>
      <cdr:y>0.562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99782" y="2998661"/>
          <a:ext cx="75438" cy="181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AT"/>
        </a:p>
      </cdr:txBody>
    </cdr:sp>
  </cdr:relSizeAnchor>
  <cdr:relSizeAnchor xmlns:cdr="http://schemas.openxmlformats.org/drawingml/2006/chartDrawing">
    <cdr:from>
      <cdr:x>0.80925</cdr:x>
      <cdr:y>0.53</cdr:y>
    </cdr:from>
    <cdr:to>
      <cdr:x>0.8175</cdr:x>
      <cdr:y>0.562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99782" y="2998661"/>
          <a:ext cx="75438" cy="181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AT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0.80925</cdr:x>
      <cdr:y>0.53</cdr:y>
    </cdr:from>
    <cdr:to>
      <cdr:x>0.8175</cdr:x>
      <cdr:y>0.562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99782" y="2998661"/>
          <a:ext cx="75438" cy="181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AT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Y188"/>
  <sheetViews>
    <sheetView tabSelected="1" zoomScale="90" zoomScaleNormal="90" workbookViewId="0">
      <selection activeCell="B2" sqref="B2"/>
    </sheetView>
  </sheetViews>
  <sheetFormatPr baseColWidth="10" defaultColWidth="11.42578125" defaultRowHeight="12.75" x14ac:dyDescent="0.2"/>
  <cols>
    <col min="1" max="1" width="12" customWidth="1"/>
    <col min="2" max="6" width="10.28515625" style="11" customWidth="1"/>
    <col min="7" max="8" width="10.28515625" style="15" customWidth="1"/>
    <col min="9" max="9" width="6.140625" style="14" customWidth="1"/>
    <col min="10" max="10" width="16.5703125" customWidth="1"/>
    <col min="11" max="11" width="11.140625" customWidth="1"/>
    <col min="12" max="12" width="11.7109375" customWidth="1"/>
    <col min="13" max="13" width="13.140625" customWidth="1"/>
    <col min="14" max="14" width="11.7109375" customWidth="1"/>
    <col min="15" max="15" width="14.42578125" bestFit="1" customWidth="1"/>
    <col min="16" max="16" width="16.28515625" customWidth="1"/>
    <col min="17" max="17" width="13" customWidth="1"/>
    <col min="18" max="18" width="12" customWidth="1"/>
    <col min="21" max="21" width="12.140625" bestFit="1" customWidth="1"/>
    <col min="22" max="22" width="13.42578125" bestFit="1" customWidth="1"/>
    <col min="25" max="26" width="0" hidden="1" customWidth="1"/>
  </cols>
  <sheetData>
    <row r="1" spans="1:25" x14ac:dyDescent="0.2">
      <c r="A1" s="10" t="s">
        <v>25</v>
      </c>
      <c r="B1" s="9"/>
      <c r="C1" s="2"/>
      <c r="F1" s="12"/>
      <c r="G1"/>
      <c r="H1" s="13"/>
    </row>
    <row r="2" spans="1:25" x14ac:dyDescent="0.2">
      <c r="A2" t="s">
        <v>95</v>
      </c>
      <c r="B2" s="3"/>
    </row>
    <row r="3" spans="1:25" x14ac:dyDescent="0.2">
      <c r="A3" t="s">
        <v>26</v>
      </c>
      <c r="B3" s="146" t="s">
        <v>184</v>
      </c>
      <c r="D3" s="223" t="s">
        <v>74</v>
      </c>
      <c r="E3" s="223"/>
      <c r="F3" s="223"/>
      <c r="G3" s="7">
        <v>10</v>
      </c>
      <c r="H3" s="16" t="s">
        <v>29</v>
      </c>
    </row>
    <row r="4" spans="1:25" x14ac:dyDescent="0.2">
      <c r="A4" t="s">
        <v>111</v>
      </c>
      <c r="B4" s="108">
        <v>1</v>
      </c>
      <c r="E4"/>
      <c r="F4" s="10" t="s">
        <v>112</v>
      </c>
      <c r="G4" s="9" t="s">
        <v>113</v>
      </c>
      <c r="I4" s="17"/>
      <c r="J4" s="18" t="s">
        <v>4</v>
      </c>
      <c r="K4" s="1" t="str">
        <f>IF(K5="Pellets","","Scheitholz")</f>
        <v>Scheitholz</v>
      </c>
    </row>
    <row r="5" spans="1:25" x14ac:dyDescent="0.2">
      <c r="I5" s="17"/>
      <c r="J5" s="18"/>
      <c r="K5" s="111" t="s">
        <v>85</v>
      </c>
      <c r="N5" s="11"/>
      <c r="O5" s="19"/>
    </row>
    <row r="6" spans="1:25" ht="16.5" thickBot="1" x14ac:dyDescent="0.35">
      <c r="A6" s="19" t="s">
        <v>0</v>
      </c>
      <c r="B6" s="20" t="s">
        <v>82</v>
      </c>
      <c r="C6" s="20" t="s">
        <v>83</v>
      </c>
      <c r="D6" s="20" t="s">
        <v>1</v>
      </c>
      <c r="E6" s="20" t="s">
        <v>84</v>
      </c>
      <c r="F6" s="20" t="s">
        <v>3</v>
      </c>
      <c r="G6" s="21" t="s">
        <v>87</v>
      </c>
      <c r="H6" s="22" t="s">
        <v>88</v>
      </c>
      <c r="I6" s="23"/>
      <c r="J6" s="18"/>
      <c r="K6" s="1"/>
    </row>
    <row r="7" spans="1:25" ht="13.5" customHeight="1" x14ac:dyDescent="0.2">
      <c r="A7" s="19"/>
      <c r="B7" s="20" t="s">
        <v>5</v>
      </c>
      <c r="C7" s="20" t="s">
        <v>5</v>
      </c>
      <c r="D7" s="20" t="s">
        <v>6</v>
      </c>
      <c r="E7" s="20" t="s">
        <v>6</v>
      </c>
      <c r="F7" s="20" t="s">
        <v>6</v>
      </c>
      <c r="G7" s="22" t="s">
        <v>17</v>
      </c>
      <c r="H7" s="22" t="s">
        <v>17</v>
      </c>
      <c r="I7" s="23"/>
      <c r="J7" s="18"/>
      <c r="K7" s="1"/>
      <c r="M7" s="24" t="s">
        <v>59</v>
      </c>
      <c r="N7" s="25"/>
      <c r="O7" s="25"/>
      <c r="P7" s="25"/>
      <c r="Q7" s="25"/>
      <c r="R7" s="25"/>
      <c r="S7" s="25"/>
      <c r="T7" s="25"/>
      <c r="U7" s="25"/>
      <c r="V7" s="26"/>
      <c r="Y7" s="10" t="s">
        <v>85</v>
      </c>
    </row>
    <row r="8" spans="1:25" ht="15.75" x14ac:dyDescent="0.3">
      <c r="A8" s="27" t="s">
        <v>102</v>
      </c>
      <c r="B8" s="28">
        <v>17.402000000000001</v>
      </c>
      <c r="C8" s="28">
        <v>11.151077000000001</v>
      </c>
      <c r="D8" s="28">
        <v>2287.9760999999999</v>
      </c>
      <c r="E8" s="28">
        <v>65.761634999999998</v>
      </c>
      <c r="F8" s="28">
        <v>237.00871000000001</v>
      </c>
      <c r="G8" s="28">
        <v>212.02097000000001</v>
      </c>
      <c r="H8" s="28">
        <v>28.413997999999999</v>
      </c>
      <c r="I8" s="23"/>
      <c r="J8" s="27" t="s">
        <v>75</v>
      </c>
      <c r="K8" s="1">
        <v>21</v>
      </c>
      <c r="M8" s="29"/>
      <c r="V8" s="30"/>
      <c r="Y8" s="10" t="s">
        <v>120</v>
      </c>
    </row>
    <row r="9" spans="1:25" ht="14.25" x14ac:dyDescent="0.25">
      <c r="A9" s="31" t="s">
        <v>73</v>
      </c>
      <c r="B9" s="28">
        <v>9.3275099000000008</v>
      </c>
      <c r="C9" s="28">
        <v>2.9783732999999999</v>
      </c>
      <c r="D9" s="28">
        <v>200.95891</v>
      </c>
      <c r="E9" s="28">
        <v>12.241237</v>
      </c>
      <c r="F9" s="28">
        <v>1.7742144</v>
      </c>
      <c r="G9" s="28">
        <v>130.285</v>
      </c>
      <c r="H9" s="28">
        <v>25.635000000000002</v>
      </c>
      <c r="I9" s="23"/>
      <c r="J9" s="27" t="s">
        <v>7</v>
      </c>
      <c r="K9" s="1">
        <v>28</v>
      </c>
      <c r="M9" s="32" t="s">
        <v>60</v>
      </c>
      <c r="N9" s="33" t="s">
        <v>61</v>
      </c>
      <c r="O9" s="33" t="s">
        <v>89</v>
      </c>
      <c r="P9" s="33" t="s">
        <v>1</v>
      </c>
      <c r="Q9" s="33" t="s">
        <v>62</v>
      </c>
      <c r="R9" s="33" t="s">
        <v>63</v>
      </c>
      <c r="S9" s="33" t="s">
        <v>90</v>
      </c>
      <c r="T9" s="33" t="s">
        <v>91</v>
      </c>
      <c r="U9" s="33" t="s">
        <v>92</v>
      </c>
      <c r="V9" s="34" t="s">
        <v>64</v>
      </c>
      <c r="Y9" s="10" t="s">
        <v>121</v>
      </c>
    </row>
    <row r="10" spans="1:25" ht="15.75" x14ac:dyDescent="0.3">
      <c r="A10" s="107">
        <v>0</v>
      </c>
      <c r="B10" s="109">
        <v>17.108953</v>
      </c>
      <c r="C10" s="109">
        <v>3.3287289000000002</v>
      </c>
      <c r="D10" s="109">
        <v>1745.9573</v>
      </c>
      <c r="E10" s="109">
        <v>27.059864000000001</v>
      </c>
      <c r="F10" s="109">
        <v>237.00871000000001</v>
      </c>
      <c r="G10" s="110">
        <v>130.285</v>
      </c>
      <c r="H10" s="110">
        <v>26.447997999999998</v>
      </c>
      <c r="I10" s="23"/>
      <c r="J10" s="27" t="s">
        <v>18</v>
      </c>
      <c r="K10" s="1">
        <v>46</v>
      </c>
      <c r="M10" s="35" t="s">
        <v>65</v>
      </c>
      <c r="N10" s="36" t="s">
        <v>43</v>
      </c>
      <c r="O10" s="36" t="s">
        <v>43</v>
      </c>
      <c r="P10" s="36" t="s">
        <v>66</v>
      </c>
      <c r="Q10" s="36" t="s">
        <v>43</v>
      </c>
      <c r="R10" s="36" t="s">
        <v>43</v>
      </c>
      <c r="S10" s="36" t="s">
        <v>42</v>
      </c>
      <c r="T10" s="36" t="s">
        <v>43</v>
      </c>
      <c r="U10" s="36" t="s">
        <v>43</v>
      </c>
      <c r="V10" s="37" t="s">
        <v>43</v>
      </c>
    </row>
    <row r="11" spans="1:25" ht="15" customHeight="1" x14ac:dyDescent="0.2">
      <c r="A11" s="107">
        <v>2.3148148148148146E-4</v>
      </c>
      <c r="B11" s="109">
        <v>16.882007999999999</v>
      </c>
      <c r="C11" s="109">
        <v>3.5899166999999998</v>
      </c>
      <c r="D11" s="109">
        <v>1540.9181000000001</v>
      </c>
      <c r="E11" s="109">
        <v>29.400936000000002</v>
      </c>
      <c r="F11" s="109">
        <v>232.64804000000001</v>
      </c>
      <c r="G11" s="110">
        <v>133.81095999999999</v>
      </c>
      <c r="H11" s="110">
        <v>26.396189</v>
      </c>
      <c r="I11" s="23"/>
      <c r="J11" s="27" t="s">
        <v>8</v>
      </c>
      <c r="K11" s="1">
        <v>36.033000000000001</v>
      </c>
      <c r="M11" s="38">
        <f ca="1">K34</f>
        <v>10.112359550561798</v>
      </c>
      <c r="N11" s="186">
        <f>K35</f>
        <v>44.570000000000007</v>
      </c>
      <c r="O11" s="39">
        <f ca="1">K21</f>
        <v>7.2148009083798845</v>
      </c>
      <c r="P11" s="39">
        <f ca="1">K22</f>
        <v>956.30654664804456</v>
      </c>
      <c r="Q11" s="186">
        <f>K38</f>
        <v>4.9800000000000013</v>
      </c>
      <c r="R11" s="39">
        <f>K39</f>
        <v>12</v>
      </c>
      <c r="S11" s="40">
        <f>K15*1000</f>
        <v>15799.920000000004</v>
      </c>
      <c r="T11" s="41">
        <f>Q39</f>
        <v>0.5</v>
      </c>
      <c r="U11" s="39">
        <f ca="1">K20</f>
        <v>13.241245101675975</v>
      </c>
      <c r="V11" s="42">
        <f ca="1">P11*((21-13)/(21-U11))/10000</f>
        <v>9.8604124932944293E-2</v>
      </c>
    </row>
    <row r="12" spans="1:25" ht="15.75" x14ac:dyDescent="0.3">
      <c r="A12" s="107">
        <v>4.6296296296296298E-4</v>
      </c>
      <c r="B12" s="109">
        <v>16.644314000000001</v>
      </c>
      <c r="C12" s="109">
        <v>3.8397408</v>
      </c>
      <c r="D12" s="109">
        <v>1546.5658000000001</v>
      </c>
      <c r="E12" s="109">
        <v>31.967890000000001</v>
      </c>
      <c r="F12" s="109">
        <v>231.85164</v>
      </c>
      <c r="G12" s="110">
        <v>136.93449000000001</v>
      </c>
      <c r="H12" s="110">
        <v>26.360498</v>
      </c>
      <c r="I12" s="23"/>
      <c r="J12" s="27" t="s">
        <v>19</v>
      </c>
      <c r="K12" s="141">
        <v>22.414000000000001</v>
      </c>
      <c r="M12" s="35"/>
      <c r="N12" s="36"/>
      <c r="O12" s="36"/>
      <c r="P12" s="36"/>
      <c r="Q12" s="36"/>
      <c r="R12" s="36"/>
      <c r="S12" s="36"/>
      <c r="T12" s="36"/>
      <c r="U12" s="36"/>
      <c r="V12" s="42"/>
    </row>
    <row r="13" spans="1:25" ht="15.75" x14ac:dyDescent="0.3">
      <c r="A13" s="107">
        <v>6.9444444444444404E-4</v>
      </c>
      <c r="B13" s="109">
        <v>16.385135999999999</v>
      </c>
      <c r="C13" s="109">
        <v>4.1694969999999998</v>
      </c>
      <c r="D13" s="109">
        <v>1510.2399</v>
      </c>
      <c r="E13" s="109">
        <v>33.365192</v>
      </c>
      <c r="F13" s="109">
        <v>206.53323</v>
      </c>
      <c r="G13" s="110">
        <v>140.16849999999999</v>
      </c>
      <c r="H13" s="110">
        <v>26.266500000000001</v>
      </c>
      <c r="I13" s="23"/>
      <c r="J13" s="27" t="s">
        <v>27</v>
      </c>
      <c r="K13" s="57">
        <f>IF(K5="Buche", L84, IF(K5="Fichte", K84,M84))</f>
        <v>3.9931386800000013</v>
      </c>
      <c r="M13" s="32" t="s">
        <v>93</v>
      </c>
      <c r="N13" s="33" t="s">
        <v>94</v>
      </c>
      <c r="O13" s="33" t="s">
        <v>67</v>
      </c>
      <c r="V13" s="30"/>
      <c r="Y13" s="10" t="s">
        <v>113</v>
      </c>
    </row>
    <row r="14" spans="1:25" ht="15.75" x14ac:dyDescent="0.3">
      <c r="A14" s="107">
        <v>9.2592592592592596E-4</v>
      </c>
      <c r="B14" s="109">
        <v>16.088749</v>
      </c>
      <c r="C14" s="109">
        <v>4.3873376999999998</v>
      </c>
      <c r="D14" s="109">
        <v>1426.0461</v>
      </c>
      <c r="E14" s="109">
        <v>32.689857000000003</v>
      </c>
      <c r="F14" s="109">
        <v>176.53980999999999</v>
      </c>
      <c r="G14" s="110">
        <v>142.78191000000001</v>
      </c>
      <c r="H14" s="110">
        <v>26.147621000000001</v>
      </c>
      <c r="I14" s="23"/>
      <c r="J14" s="27" t="s">
        <v>28</v>
      </c>
      <c r="K14" s="57">
        <f>IF(K5="Buche", L86, IF(K5="Fichte", K86,M86))</f>
        <v>4.6952166800000015</v>
      </c>
      <c r="M14" s="35" t="s">
        <v>68</v>
      </c>
      <c r="N14" s="36" t="s">
        <v>43</v>
      </c>
      <c r="O14" s="36" t="s">
        <v>69</v>
      </c>
      <c r="P14" s="33"/>
      <c r="Q14" s="33"/>
      <c r="R14" s="33"/>
      <c r="S14" s="33"/>
      <c r="T14" s="33"/>
      <c r="V14" s="30"/>
      <c r="Y14" s="10" t="s">
        <v>114</v>
      </c>
    </row>
    <row r="15" spans="1:25" ht="16.5" thickBot="1" x14ac:dyDescent="0.35">
      <c r="A15" s="107">
        <v>1.1574074074074099E-3</v>
      </c>
      <c r="B15" s="109">
        <v>15.688632</v>
      </c>
      <c r="C15" s="109">
        <v>4.7985262999999998</v>
      </c>
      <c r="D15" s="109">
        <v>1465.6847</v>
      </c>
      <c r="E15" s="109">
        <v>34.988101999999998</v>
      </c>
      <c r="F15" s="109">
        <v>149.46728999999999</v>
      </c>
      <c r="G15" s="110">
        <v>145.79149000000001</v>
      </c>
      <c r="H15" s="110">
        <v>26.074503</v>
      </c>
      <c r="I15" s="23"/>
      <c r="J15" s="27" t="s">
        <v>20</v>
      </c>
      <c r="K15" s="141">
        <f>IF(K5="Buche", L88/1000, IF(K5="Fichte", K88/1000,M88/1000))</f>
        <v>15.799920000000004</v>
      </c>
      <c r="M15" s="185">
        <f>T11*S11/100</f>
        <v>78.999600000000015</v>
      </c>
      <c r="N15" s="43">
        <f>M15/335</f>
        <v>0.23581970149253736</v>
      </c>
      <c r="O15" s="44">
        <f ca="1">(M11*1.3*(N11-N15)/(0.536*(O11+P11/10000))+(9*Q11+R11)/100)/3.6</f>
        <v>41.474400640698171</v>
      </c>
      <c r="P15" s="45"/>
      <c r="Q15" s="45"/>
      <c r="R15" s="45"/>
      <c r="S15" s="45"/>
      <c r="T15" s="45"/>
      <c r="U15" s="46"/>
      <c r="V15" s="47"/>
      <c r="Y15" s="10" t="s">
        <v>116</v>
      </c>
    </row>
    <row r="16" spans="1:25" ht="15.75" x14ac:dyDescent="0.3">
      <c r="A16" s="107">
        <v>1.38888888888889E-3</v>
      </c>
      <c r="B16" s="109">
        <v>15.017515</v>
      </c>
      <c r="C16" s="109">
        <v>5.4467325000000004</v>
      </c>
      <c r="D16" s="109">
        <v>1728.6724999999999</v>
      </c>
      <c r="E16" s="109">
        <v>37.379168999999997</v>
      </c>
      <c r="F16" s="109">
        <v>155.17429000000001</v>
      </c>
      <c r="G16" s="110">
        <v>149.09998999999999</v>
      </c>
      <c r="H16" s="110">
        <v>26.056004000000001</v>
      </c>
      <c r="I16" s="23"/>
      <c r="J16" s="27" t="s">
        <v>101</v>
      </c>
      <c r="K16" s="57">
        <f>IF(K5="Buche", L87, IF(K5="Fichte", K87,M87))</f>
        <v>20.796223908624857</v>
      </c>
      <c r="Y16" s="10" t="s">
        <v>117</v>
      </c>
    </row>
    <row r="17" spans="1:25" x14ac:dyDescent="0.2">
      <c r="A17" s="107">
        <v>1.6203703703703701E-3</v>
      </c>
      <c r="B17" s="109">
        <v>14.219061</v>
      </c>
      <c r="C17" s="109">
        <v>6.1760187000000002</v>
      </c>
      <c r="D17" s="109">
        <v>2287.9760999999999</v>
      </c>
      <c r="E17" s="109">
        <v>39.909148999999999</v>
      </c>
      <c r="F17" s="109">
        <v>140.03647000000001</v>
      </c>
      <c r="G17" s="110">
        <v>151.93801999999999</v>
      </c>
      <c r="H17" s="110">
        <v>26.037998000000002</v>
      </c>
      <c r="I17" s="23"/>
      <c r="Y17" s="10" t="s">
        <v>115</v>
      </c>
    </row>
    <row r="18" spans="1:25" ht="13.5" thickBot="1" x14ac:dyDescent="0.25">
      <c r="A18" s="107">
        <v>1.85185185185185E-3</v>
      </c>
      <c r="B18" s="109">
        <v>13.516635000000001</v>
      </c>
      <c r="C18" s="109">
        <v>7.0528040000000001</v>
      </c>
      <c r="D18" s="109">
        <v>2066.7134000000001</v>
      </c>
      <c r="E18" s="109">
        <v>45.197521000000002</v>
      </c>
      <c r="F18" s="109">
        <v>78.100136000000006</v>
      </c>
      <c r="G18" s="110">
        <v>155.35046</v>
      </c>
      <c r="H18" s="110">
        <v>26.028096999999999</v>
      </c>
      <c r="I18" s="23"/>
      <c r="Y18" s="10" t="s">
        <v>118</v>
      </c>
    </row>
    <row r="19" spans="1:25" x14ac:dyDescent="0.2">
      <c r="A19" s="107">
        <v>2.0833333333333298E-3</v>
      </c>
      <c r="B19" s="109">
        <v>13.473169</v>
      </c>
      <c r="C19" s="109">
        <v>7.1292682000000003</v>
      </c>
      <c r="D19" s="109">
        <v>1761.5170000000001</v>
      </c>
      <c r="E19" s="109">
        <v>46.757294000000002</v>
      </c>
      <c r="F19" s="109">
        <v>66.109215000000006</v>
      </c>
      <c r="G19" s="110">
        <v>157.82499999999999</v>
      </c>
      <c r="H19" s="110">
        <v>26.039000999999999</v>
      </c>
      <c r="I19" s="23"/>
      <c r="J19" s="212" t="s">
        <v>107</v>
      </c>
      <c r="K19" s="212"/>
      <c r="M19" s="224" t="s">
        <v>103</v>
      </c>
      <c r="N19" s="225"/>
      <c r="P19" s="48" t="s">
        <v>108</v>
      </c>
      <c r="Q19" s="49" t="s">
        <v>9</v>
      </c>
      <c r="R19" s="49" t="s">
        <v>10</v>
      </c>
      <c r="S19" s="50" t="s">
        <v>11</v>
      </c>
      <c r="T19" s="208" t="s">
        <v>100</v>
      </c>
      <c r="U19" s="209"/>
      <c r="V19" s="210"/>
      <c r="Y19" s="10" t="s">
        <v>119</v>
      </c>
    </row>
    <row r="20" spans="1:25" ht="15.75" x14ac:dyDescent="0.3">
      <c r="A20" s="107">
        <v>2.3148148148148099E-3</v>
      </c>
      <c r="B20" s="109">
        <v>13.361008</v>
      </c>
      <c r="C20" s="109">
        <v>7.1979141000000002</v>
      </c>
      <c r="D20" s="109">
        <v>1988.7219</v>
      </c>
      <c r="E20" s="109">
        <v>46.245032999999999</v>
      </c>
      <c r="F20" s="109">
        <v>63.213450999999999</v>
      </c>
      <c r="G20" s="110">
        <v>159.33099000000001</v>
      </c>
      <c r="H20" s="110">
        <v>26.01</v>
      </c>
      <c r="I20" s="23"/>
      <c r="J20" s="1" t="s">
        <v>76</v>
      </c>
      <c r="K20" s="57">
        <f ca="1">AVERAGE(OFFSET(Auswertung!$B$10,(Auswertung!$N$20-10),0,Auswertung!$N$22))</f>
        <v>13.241245101675975</v>
      </c>
      <c r="M20" s="31" t="s">
        <v>105</v>
      </c>
      <c r="N20" s="4">
        <v>10</v>
      </c>
      <c r="P20" s="52" t="s">
        <v>12</v>
      </c>
      <c r="Q20" s="53">
        <f ca="1">K22*($K$8-13)/($K$8-K$20)</f>
        <v>986.04124932944296</v>
      </c>
      <c r="R20" s="53">
        <f ca="1">K22*($K$8-13)/($K$8-$K$20)*$K$9/$K$12</f>
        <v>1231.781698100491</v>
      </c>
      <c r="S20" s="54">
        <f ca="1">K22*$K$9/$K$12*$K$8/($K$8-$K$20)*$K$13/$K$15</f>
        <v>817.18909038799086</v>
      </c>
      <c r="T20" s="32">
        <f>IF(K5="Pellets", 500, 1100)</f>
        <v>1100</v>
      </c>
      <c r="U20" s="55">
        <f ca="1">S20</f>
        <v>817.18909038799086</v>
      </c>
      <c r="V20" s="56" t="str">
        <f ca="1">IF(U20&gt;T20,"nicht erfüllt","erfüllt")</f>
        <v>erfüllt</v>
      </c>
    </row>
    <row r="21" spans="1:25" ht="15.75" x14ac:dyDescent="0.3">
      <c r="A21" s="107">
        <v>2.5462962962963E-3</v>
      </c>
      <c r="B21" s="109">
        <v>12.818014</v>
      </c>
      <c r="C21" s="109">
        <v>7.7372269999999999</v>
      </c>
      <c r="D21" s="109">
        <v>1112.3562999999999</v>
      </c>
      <c r="E21" s="109">
        <v>52.597785999999999</v>
      </c>
      <c r="F21" s="109">
        <v>24.172577</v>
      </c>
      <c r="G21" s="110">
        <v>161.56426999999999</v>
      </c>
      <c r="H21" s="110">
        <v>26.017621999999999</v>
      </c>
      <c r="I21" s="23"/>
      <c r="J21" s="1" t="s">
        <v>77</v>
      </c>
      <c r="K21" s="57">
        <f ca="1">AVERAGE(OFFSET(Auswertung!$C$10,(Auswertung!$N$20-10),0,Auswertung!$N$22))</f>
        <v>7.2148009083798845</v>
      </c>
      <c r="M21" s="27" t="s">
        <v>106</v>
      </c>
      <c r="N21" s="4">
        <v>188</v>
      </c>
      <c r="P21" s="52" t="s">
        <v>2</v>
      </c>
      <c r="Q21" s="53">
        <f ca="1">K23*($K$8-13)/($K$8-K$20)</f>
        <v>46.611434123912737</v>
      </c>
      <c r="R21" s="53">
        <f ca="1">K23*($K$8-13)/($K$8-$K$20)*$K$10/$K$12</f>
        <v>95.660121785490574</v>
      </c>
      <c r="S21" s="54">
        <f ca="1">K23*$K$10/$K$12*$K$8/($K$8-$K$20)*$K$13/$K$15</f>
        <v>63.462874979257926</v>
      </c>
      <c r="T21" s="32">
        <f>IF(K5="Pellets", 100, 150)</f>
        <v>150</v>
      </c>
      <c r="U21" s="55">
        <f ca="1">S21</f>
        <v>63.462874979257926</v>
      </c>
      <c r="V21" s="56" t="str">
        <f ca="1">IF(U21&gt;T21,"nicht erfüllt","erfüllt")</f>
        <v>erfüllt</v>
      </c>
    </row>
    <row r="22" spans="1:25" ht="15" customHeight="1" x14ac:dyDescent="0.2">
      <c r="A22" s="107">
        <v>2.7777777777777801E-3</v>
      </c>
      <c r="B22" s="109">
        <v>12.532182000000001</v>
      </c>
      <c r="C22" s="109">
        <v>8.1424798999999997</v>
      </c>
      <c r="D22" s="109">
        <v>657.65161000000001</v>
      </c>
      <c r="E22" s="109">
        <v>58.281666000000001</v>
      </c>
      <c r="F22" s="109">
        <v>17.820374000000001</v>
      </c>
      <c r="G22" s="110">
        <v>163.93201999999999</v>
      </c>
      <c r="H22" s="110">
        <v>25.934000000000001</v>
      </c>
      <c r="I22" s="23"/>
      <c r="J22" s="1" t="s">
        <v>78</v>
      </c>
      <c r="K22" s="57">
        <f ca="1">AVERAGE(OFFSET(Auswertung!$D$10,(Auswertung!$N$20-10),0,Auswertung!$N$22))</f>
        <v>956.30654664804456</v>
      </c>
      <c r="M22" s="48" t="s">
        <v>104</v>
      </c>
      <c r="N22" s="49">
        <f>N21-N20+1</f>
        <v>179</v>
      </c>
      <c r="P22" s="52" t="s">
        <v>3</v>
      </c>
      <c r="Q22" s="53">
        <f ca="1">K24*($K$8-13)/($K$8-K$20)</f>
        <v>17.03600860346187</v>
      </c>
      <c r="R22" s="53">
        <f ca="1">K24*($K$8-13)/($K$8-$K$20)*$K$11/$K$12</f>
        <v>27.387280182410169</v>
      </c>
      <c r="S22" s="54">
        <f ca="1">K24*$K$11/$K$12*$K$8/($K$8-$K$20)*$K$14/$K$15</f>
        <v>21.363822644181102</v>
      </c>
      <c r="T22" s="32">
        <f>IF(K5="Pellets", 30, 50)</f>
        <v>50</v>
      </c>
      <c r="U22" s="55">
        <f ca="1">S22</f>
        <v>21.363822644181102</v>
      </c>
      <c r="V22" s="56" t="str">
        <f ca="1">IF(U22&gt;T22,"nicht erfüllt","erfüllt")</f>
        <v>erfüllt</v>
      </c>
    </row>
    <row r="23" spans="1:25" ht="15" customHeight="1" thickBot="1" x14ac:dyDescent="0.25">
      <c r="A23" s="107">
        <v>3.0092592592592601E-3</v>
      </c>
      <c r="B23" s="109">
        <v>12.431599</v>
      </c>
      <c r="C23" s="109">
        <v>8.1906967000000002</v>
      </c>
      <c r="D23" s="109">
        <v>572.87127999999996</v>
      </c>
      <c r="E23" s="109">
        <v>59.228672000000003</v>
      </c>
      <c r="F23" s="109">
        <v>15.269645000000001</v>
      </c>
      <c r="G23" s="110">
        <v>165.9325</v>
      </c>
      <c r="H23" s="110">
        <v>25.898001000000001</v>
      </c>
      <c r="I23" s="23"/>
      <c r="J23" s="58" t="s">
        <v>79</v>
      </c>
      <c r="K23" s="57">
        <f ca="1">AVERAGE(OFFSET(Auswertung!$E$10,(Auswertung!$N$20-10),0,Auswertung!$N$22))</f>
        <v>45.205836603351941</v>
      </c>
      <c r="P23" s="59" t="s">
        <v>58</v>
      </c>
      <c r="Q23" s="60"/>
      <c r="R23" s="60"/>
      <c r="S23" s="61">
        <f ca="1">Q40</f>
        <v>81.636191711578235</v>
      </c>
      <c r="T23" s="62">
        <v>80</v>
      </c>
      <c r="U23" s="44">
        <f ca="1">S23</f>
        <v>81.636191711578235</v>
      </c>
      <c r="V23" s="63" t="str">
        <f ca="1">IF(U23&lt;=T23,"nicht erfüllt","erfüllt")</f>
        <v>erfüllt</v>
      </c>
    </row>
    <row r="24" spans="1:25" ht="15" customHeight="1" x14ac:dyDescent="0.2">
      <c r="A24" s="107">
        <v>3.2407407407407402E-3</v>
      </c>
      <c r="B24" s="109">
        <v>12.306039</v>
      </c>
      <c r="C24" s="109">
        <v>8.3944206000000001</v>
      </c>
      <c r="D24" s="109">
        <v>519.14892999999995</v>
      </c>
      <c r="E24" s="109">
        <v>60.081806</v>
      </c>
      <c r="F24" s="109">
        <v>13.793775</v>
      </c>
      <c r="G24" s="110">
        <v>167.57051000000001</v>
      </c>
      <c r="H24" s="110">
        <v>25.884501</v>
      </c>
      <c r="I24" s="23"/>
      <c r="J24" s="1" t="s">
        <v>80</v>
      </c>
      <c r="K24" s="57">
        <f ca="1">AVERAGE(OFFSET(Auswertung!$F$10,(Auswertung!$N$20-10),0,Auswertung!$N$22))</f>
        <v>16.522276900000001</v>
      </c>
      <c r="Y24" t="str">
        <f>B1&amp;" - "&amp;G4&amp;"  "&amp;B3</f>
        <v xml:space="preserve"> - Nennlast  14.10.2020</v>
      </c>
    </row>
    <row r="25" spans="1:25" ht="15.75" x14ac:dyDescent="0.3">
      <c r="A25" s="107">
        <v>3.4722222222222199E-3</v>
      </c>
      <c r="B25" s="109">
        <v>12.124648000000001</v>
      </c>
      <c r="C25" s="109">
        <v>8.5071010999999999</v>
      </c>
      <c r="D25" s="109">
        <v>486.65893999999997</v>
      </c>
      <c r="E25" s="109">
        <v>61.169944999999998</v>
      </c>
      <c r="F25" s="109">
        <v>12.411451</v>
      </c>
      <c r="G25" s="110">
        <v>169.46143000000001</v>
      </c>
      <c r="H25" s="110">
        <v>25.874762</v>
      </c>
      <c r="I25" s="23"/>
      <c r="J25" s="58" t="s">
        <v>86</v>
      </c>
      <c r="K25" s="64">
        <f ca="1">AVERAGE(OFFSET(Auswertung!$G$10,(Auswertung!$N$20-10),0,Auswertung!$N$22))</f>
        <v>190.91921910614522</v>
      </c>
      <c r="W25" s="65"/>
    </row>
    <row r="26" spans="1:25" ht="15.75" x14ac:dyDescent="0.3">
      <c r="A26" s="107">
        <v>3.7037037037036999E-3</v>
      </c>
      <c r="B26" s="109">
        <v>12.076985000000001</v>
      </c>
      <c r="C26" s="109">
        <v>8.6155194999999996</v>
      </c>
      <c r="D26" s="109">
        <v>456.73421999999999</v>
      </c>
      <c r="E26" s="109">
        <v>63.260223000000003</v>
      </c>
      <c r="F26" s="109">
        <v>11.697929</v>
      </c>
      <c r="G26" s="110">
        <v>171.297</v>
      </c>
      <c r="H26" s="110">
        <v>25.859501000000002</v>
      </c>
      <c r="I26" s="23"/>
      <c r="J26" s="1" t="s">
        <v>81</v>
      </c>
      <c r="K26" s="51">
        <f ca="1">AVERAGE(OFFSET(Auswertung!$H$10,(Auswertung!$N$20-10),0,Auswertung!$N$22))</f>
        <v>26.788806726257</v>
      </c>
      <c r="L26" s="11"/>
      <c r="O26" s="11"/>
      <c r="W26" s="66"/>
    </row>
    <row r="27" spans="1:25" ht="15" customHeight="1" x14ac:dyDescent="0.2">
      <c r="A27" s="107">
        <v>3.9351851851851796E-3</v>
      </c>
      <c r="B27" s="109">
        <v>11.69224</v>
      </c>
      <c r="C27" s="109">
        <v>8.9753761000000001</v>
      </c>
      <c r="D27" s="109">
        <v>468.28100999999998</v>
      </c>
      <c r="E27" s="109">
        <v>63.556457999999999</v>
      </c>
      <c r="F27" s="109">
        <v>11.690552</v>
      </c>
      <c r="G27" s="110">
        <v>172.4915</v>
      </c>
      <c r="H27" s="110">
        <v>25.840499999999999</v>
      </c>
      <c r="I27" s="23"/>
      <c r="J27" s="67" t="s">
        <v>110</v>
      </c>
      <c r="K27" s="57">
        <f ca="1">K16/$K21</f>
        <v>2.8824390544817877</v>
      </c>
      <c r="O27" s="68"/>
      <c r="Y27">
        <v>1</v>
      </c>
    </row>
    <row r="28" spans="1:25" x14ac:dyDescent="0.2">
      <c r="A28" s="107">
        <v>4.1666666666666701E-3</v>
      </c>
      <c r="B28" s="109">
        <v>11.87804</v>
      </c>
      <c r="C28" s="109">
        <v>8.8052033999999999</v>
      </c>
      <c r="D28" s="109">
        <v>412.67041</v>
      </c>
      <c r="E28" s="109">
        <v>63.266907000000003</v>
      </c>
      <c r="F28" s="109">
        <v>10.373251</v>
      </c>
      <c r="G28" s="110">
        <v>173.76903999999999</v>
      </c>
      <c r="H28" s="110">
        <v>25.810473999999999</v>
      </c>
      <c r="I28" s="23"/>
      <c r="J28" s="69"/>
      <c r="M28" s="10"/>
      <c r="N28" s="10"/>
      <c r="O28" s="10"/>
      <c r="Y28">
        <v>2</v>
      </c>
    </row>
    <row r="29" spans="1:25" x14ac:dyDescent="0.2">
      <c r="A29" s="107">
        <v>4.3981481481481502E-3</v>
      </c>
      <c r="B29" s="109">
        <v>11.225204</v>
      </c>
      <c r="C29" s="109">
        <v>9.3365849999999995</v>
      </c>
      <c r="D29" s="109">
        <v>450.77825999999999</v>
      </c>
      <c r="E29" s="109">
        <v>64.411147999999997</v>
      </c>
      <c r="F29" s="109">
        <v>13.104675</v>
      </c>
      <c r="G29" s="110">
        <v>175.49849</v>
      </c>
      <c r="H29" s="110">
        <v>25.763500000000001</v>
      </c>
      <c r="I29" s="23"/>
      <c r="J29" s="70"/>
      <c r="K29" s="10"/>
      <c r="L29" s="10"/>
      <c r="M29" s="10"/>
      <c r="N29" s="10"/>
      <c r="O29" s="10"/>
      <c r="P29" s="10"/>
      <c r="Q29" s="40"/>
      <c r="T29" s="66"/>
      <c r="U29" s="66"/>
    </row>
    <row r="30" spans="1:25" x14ac:dyDescent="0.2">
      <c r="A30" s="107">
        <v>4.6296296296296302E-3</v>
      </c>
      <c r="B30" s="109">
        <v>10.555426000000001</v>
      </c>
      <c r="C30" s="109">
        <v>10.032512000000001</v>
      </c>
      <c r="D30" s="109">
        <v>774.17938000000004</v>
      </c>
      <c r="E30" s="109">
        <v>65.706100000000006</v>
      </c>
      <c r="F30" s="109">
        <v>15.107785</v>
      </c>
      <c r="G30" s="110">
        <v>177.15899999999999</v>
      </c>
      <c r="H30" s="110">
        <v>25.749995999999999</v>
      </c>
      <c r="I30" s="23"/>
      <c r="J30" s="70" t="str">
        <f>IF(K5="Pellets", "Wirkungsgradberechnung nach EN 14785", "Wirkungsgradberechnung nach EN 12815, EN 13229, EN 13240, EN 15250")</f>
        <v>Wirkungsgradberechnung nach EN 12815, EN 13229, EN 13240, EN 15250</v>
      </c>
      <c r="Q30" s="10"/>
      <c r="R30" s="10"/>
    </row>
    <row r="31" spans="1:25" x14ac:dyDescent="0.2">
      <c r="A31" s="107">
        <v>4.8611111111111103E-3</v>
      </c>
      <c r="B31" s="109">
        <v>10.62406</v>
      </c>
      <c r="C31" s="109">
        <v>10.110391999999999</v>
      </c>
      <c r="D31" s="109">
        <v>806.23943999999995</v>
      </c>
      <c r="E31" s="109">
        <v>65.159774999999996</v>
      </c>
      <c r="F31" s="109">
        <v>13.8483</v>
      </c>
      <c r="G31" s="110">
        <v>178.49802</v>
      </c>
      <c r="H31" s="110">
        <v>25.747997000000002</v>
      </c>
      <c r="I31" s="23"/>
      <c r="Q31" s="71"/>
      <c r="R31" s="19"/>
      <c r="S31" s="211"/>
      <c r="T31" s="211"/>
    </row>
    <row r="32" spans="1:25" ht="13.5" thickBot="1" x14ac:dyDescent="0.25">
      <c r="A32" s="107">
        <v>5.0925925925925904E-3</v>
      </c>
      <c r="B32" s="109">
        <v>11.144382</v>
      </c>
      <c r="C32" s="109">
        <v>9.5329131999999994</v>
      </c>
      <c r="D32" s="109">
        <v>591.92858999999999</v>
      </c>
      <c r="E32" s="109">
        <v>65.316574000000003</v>
      </c>
      <c r="F32" s="109">
        <v>13.07235</v>
      </c>
      <c r="G32" s="110">
        <v>179.3938</v>
      </c>
      <c r="H32" s="110">
        <v>25.733809000000001</v>
      </c>
      <c r="I32" s="23"/>
      <c r="J32" s="72" t="s">
        <v>32</v>
      </c>
      <c r="M32" s="72" t="s">
        <v>33</v>
      </c>
      <c r="Q32" s="73"/>
      <c r="R32" s="73"/>
      <c r="S32" s="69"/>
      <c r="T32" s="73"/>
      <c r="U32" s="65"/>
    </row>
    <row r="33" spans="1:23" x14ac:dyDescent="0.2">
      <c r="A33" s="107">
        <v>5.3240740740740696E-3</v>
      </c>
      <c r="B33" s="109">
        <v>11.127700000000001</v>
      </c>
      <c r="C33" s="109">
        <v>9.5225247999999993</v>
      </c>
      <c r="D33" s="109">
        <v>690.49756000000002</v>
      </c>
      <c r="E33" s="109">
        <v>63.626151999999998</v>
      </c>
      <c r="F33" s="109">
        <v>14.978071999999999</v>
      </c>
      <c r="G33" s="110">
        <v>179.97449</v>
      </c>
      <c r="H33" s="110">
        <v>25.744999</v>
      </c>
      <c r="I33" s="23"/>
      <c r="J33" s="24" t="s">
        <v>30</v>
      </c>
      <c r="K33" s="179">
        <f ca="1">MAX(OFFSET(Auswertung!$A$10,(Auswertung!$N$20-10),0,Auswertung!$N$22))*24*60</f>
        <v>59.333333333333329</v>
      </c>
      <c r="M33" s="74" t="s">
        <v>40</v>
      </c>
      <c r="N33" s="25"/>
      <c r="O33" s="25"/>
      <c r="P33" s="75" t="s">
        <v>41</v>
      </c>
      <c r="Q33" s="76"/>
      <c r="R33" s="77"/>
      <c r="S33" s="75" t="s">
        <v>57</v>
      </c>
      <c r="T33" s="26"/>
      <c r="U33" s="66"/>
    </row>
    <row r="34" spans="1:23" ht="15.75" x14ac:dyDescent="0.3">
      <c r="A34" s="107">
        <v>5.5555555555555497E-3</v>
      </c>
      <c r="B34" s="109">
        <v>11.012459</v>
      </c>
      <c r="C34" s="109">
        <v>9.60534</v>
      </c>
      <c r="D34" s="109">
        <v>710.66778999999997</v>
      </c>
      <c r="E34" s="109">
        <v>63.118766999999998</v>
      </c>
      <c r="F34" s="109">
        <v>14.934752</v>
      </c>
      <c r="G34" s="110">
        <v>180.32002</v>
      </c>
      <c r="H34" s="110">
        <v>25.719501000000001</v>
      </c>
      <c r="I34" s="23"/>
      <c r="J34" s="29" t="s">
        <v>31</v>
      </c>
      <c r="K34" s="78">
        <f ca="1">G3/K33*60</f>
        <v>10.112359550561798</v>
      </c>
      <c r="M34" s="79" t="s">
        <v>36</v>
      </c>
      <c r="N34" s="80">
        <f ca="1">IF(K5="Pellets", 3.6*(0.361+0.008*($K$40/1000)+0.034*($K$40/1000)^2+(0.085+0.19*($K$40/1000)-0.14*($K$40/1000)^2)*($K$36/100)+(0.3*($K$40/1000)-0.2*($K$40/1000)^2)*($K$36/100)^2), 3.6*(0.361+0.008*($K$40/1000)+0.034*($K$40/1000)^2+(0.085+0.19*($K$40/1000)-0.14*($K$40/1000)^2)*($K$36/100)+(0.3*($K$40/1000)-0.2*($K$40/1000)^2)*($K$36/100)))</f>
        <v>1.3527164952491704</v>
      </c>
      <c r="P34" t="s">
        <v>45</v>
      </c>
      <c r="Q34" s="15">
        <f ca="1">IF(K5="Pellets", (K40-K41)*(((N34*(K35-N36))/(0.536*(K37+K36)))+(N35*1.92*(9*K38+K39)/100)), (K40-K41)*(((N34*(K35-N36))/(0.536*(K37+K36)))+(N35*1.224*(9*K38+K39)/100)))</f>
        <v>2685.6591036064979</v>
      </c>
      <c r="R34" t="s">
        <v>42</v>
      </c>
      <c r="S34" t="s">
        <v>51</v>
      </c>
      <c r="T34" s="81">
        <f ca="1">(Q40*K34*K42)/(100*3600)</f>
        <v>36.23160949852808</v>
      </c>
    </row>
    <row r="35" spans="1:23" ht="15.75" x14ac:dyDescent="0.3">
      <c r="A35" s="107">
        <v>5.7870370370370402E-3</v>
      </c>
      <c r="B35" s="109">
        <v>10.775831</v>
      </c>
      <c r="C35" s="109">
        <v>9.8444699999999994</v>
      </c>
      <c r="D35" s="109">
        <v>908.17578000000003</v>
      </c>
      <c r="E35" s="109">
        <v>63.490551000000004</v>
      </c>
      <c r="F35" s="109">
        <v>15.974625</v>
      </c>
      <c r="G35" s="110">
        <v>181.02238</v>
      </c>
      <c r="H35" s="110">
        <v>25.690474999999999</v>
      </c>
      <c r="I35" s="23"/>
      <c r="J35" s="82" t="s">
        <v>13</v>
      </c>
      <c r="K35" s="83">
        <f>IF(K5="Buche", P71, IF(K5="Fichte", O71,Q71))</f>
        <v>44.570000000000007</v>
      </c>
      <c r="L35" s="10"/>
      <c r="M35" s="79" t="s">
        <v>37</v>
      </c>
      <c r="N35" s="80">
        <f ca="1">3.6*(0.414+0.038*($K$40/1000)+0.034*($K$40/1000)^2)</f>
        <v>1.5209792473163504</v>
      </c>
      <c r="P35" t="s">
        <v>46</v>
      </c>
      <c r="Q35" s="15">
        <f ca="1">100*$Q$34/$K$42</f>
        <v>16.997928493349949</v>
      </c>
      <c r="R35" t="s">
        <v>43</v>
      </c>
      <c r="S35" t="s">
        <v>52</v>
      </c>
      <c r="T35" s="81" t="e">
        <f>K45*K46*K47/3600</f>
        <v>#REF!</v>
      </c>
    </row>
    <row r="36" spans="1:23" ht="15.75" x14ac:dyDescent="0.3">
      <c r="A36" s="107">
        <v>6.0185185185185203E-3</v>
      </c>
      <c r="B36" s="109">
        <v>10.621131</v>
      </c>
      <c r="C36" s="109">
        <v>9.9659928999999998</v>
      </c>
      <c r="D36" s="109">
        <v>985.60955999999999</v>
      </c>
      <c r="E36" s="109">
        <v>61.573493999999997</v>
      </c>
      <c r="F36" s="109">
        <v>16.765426999999999</v>
      </c>
      <c r="G36" s="110">
        <v>182.173</v>
      </c>
      <c r="H36" s="110">
        <v>25.635000000000002</v>
      </c>
      <c r="I36" s="23"/>
      <c r="J36" s="82" t="s">
        <v>21</v>
      </c>
      <c r="K36" s="83">
        <f ca="1">K21</f>
        <v>7.2148009083798845</v>
      </c>
      <c r="L36" s="10"/>
      <c r="M36" s="79" t="s">
        <v>38</v>
      </c>
      <c r="N36" s="80">
        <f>$Q$39*$K$15*1000/100/335</f>
        <v>0.23581970149253736</v>
      </c>
      <c r="P36" t="s">
        <v>47</v>
      </c>
      <c r="Q36" s="15">
        <f ca="1">12644*K37*(K35-N36)/(0.536*(K36+K37)*100)</f>
        <v>136.80831491751044</v>
      </c>
      <c r="R36" t="s">
        <v>42</v>
      </c>
      <c r="S36" t="s">
        <v>53</v>
      </c>
      <c r="T36" s="81" t="e">
        <f ca="1">T34-T35</f>
        <v>#REF!</v>
      </c>
      <c r="W36" s="65"/>
    </row>
    <row r="37" spans="1:23" ht="15.75" x14ac:dyDescent="0.3">
      <c r="A37" s="107">
        <v>6.2500000000000003E-3</v>
      </c>
      <c r="B37" s="109">
        <v>10.442866</v>
      </c>
      <c r="C37" s="109">
        <v>10.148619</v>
      </c>
      <c r="D37" s="109">
        <v>1155.8904</v>
      </c>
      <c r="E37" s="109">
        <v>60.727179999999997</v>
      </c>
      <c r="F37" s="109">
        <v>17.454999999999998</v>
      </c>
      <c r="G37" s="110">
        <v>183.29001</v>
      </c>
      <c r="H37" s="110">
        <v>25.646001999999999</v>
      </c>
      <c r="I37" s="23"/>
      <c r="J37" s="82" t="s">
        <v>14</v>
      </c>
      <c r="K37" s="83">
        <f ca="1">K22/10000</f>
        <v>9.5630654664804457E-2</v>
      </c>
      <c r="L37" s="10"/>
      <c r="M37" s="79" t="s">
        <v>39</v>
      </c>
      <c r="N37" s="80">
        <f ca="1">K34*10-K43*K44*K34*10/10000</f>
        <v>101.12359550561798</v>
      </c>
      <c r="P37" t="s">
        <v>48</v>
      </c>
      <c r="Q37" s="15">
        <f ca="1">100*$Q$36/$K$42</f>
        <v>0.86587979507181312</v>
      </c>
      <c r="R37" t="s">
        <v>43</v>
      </c>
      <c r="T37" s="84"/>
    </row>
    <row r="38" spans="1:23" ht="15.75" x14ac:dyDescent="0.3">
      <c r="A38" s="107">
        <v>6.4814814814814804E-3</v>
      </c>
      <c r="B38" s="109">
        <v>10.485486999999999</v>
      </c>
      <c r="C38" s="109">
        <v>10.134104000000001</v>
      </c>
      <c r="D38" s="109">
        <v>1182.2257999999999</v>
      </c>
      <c r="E38" s="109">
        <v>62.289299</v>
      </c>
      <c r="F38" s="109">
        <v>17.343824000000001</v>
      </c>
      <c r="G38" s="110">
        <v>184.23399000000001</v>
      </c>
      <c r="H38" s="110">
        <v>25.664000999999999</v>
      </c>
      <c r="I38" s="23"/>
      <c r="J38" s="82" t="s">
        <v>15</v>
      </c>
      <c r="K38" s="83">
        <f>IF(K5="Buche", P72, IF(K5="Fichte", O72,Q72))</f>
        <v>4.9800000000000013</v>
      </c>
      <c r="L38" s="10"/>
      <c r="M38" s="79"/>
      <c r="P38" t="s">
        <v>49</v>
      </c>
      <c r="Q38" s="15">
        <f>335*$N$36</f>
        <v>78.999600000000015</v>
      </c>
      <c r="R38" t="s">
        <v>42</v>
      </c>
      <c r="T38" s="85"/>
      <c r="V38" s="86"/>
      <c r="W38" s="10"/>
    </row>
    <row r="39" spans="1:23" ht="15.75" x14ac:dyDescent="0.3">
      <c r="A39" s="107">
        <v>6.7129629629629596E-3</v>
      </c>
      <c r="B39" s="109">
        <v>10.368273</v>
      </c>
      <c r="C39" s="109">
        <v>10.238761999999999</v>
      </c>
      <c r="D39" s="109">
        <v>1196.8895</v>
      </c>
      <c r="E39" s="109">
        <v>60.491675999999998</v>
      </c>
      <c r="F39" s="109">
        <v>16.645052</v>
      </c>
      <c r="G39" s="110">
        <v>185.18476999999999</v>
      </c>
      <c r="H39" s="110">
        <v>25.714762</v>
      </c>
      <c r="I39" s="23"/>
      <c r="J39" s="82" t="s">
        <v>16</v>
      </c>
      <c r="K39" s="83">
        <f>IF(K5="Buche", P70, IF(K5="Fichte", O70,Q70))</f>
        <v>12</v>
      </c>
      <c r="L39" s="10"/>
      <c r="M39" s="87"/>
      <c r="N39" s="10"/>
      <c r="O39" s="10"/>
      <c r="P39" t="s">
        <v>50</v>
      </c>
      <c r="Q39" s="15">
        <f>IF(K5="Pellets", 0.2, 0.5)</f>
        <v>0.5</v>
      </c>
      <c r="R39" t="s">
        <v>43</v>
      </c>
      <c r="S39" s="73"/>
      <c r="T39" s="85"/>
      <c r="V39" s="66"/>
      <c r="W39" s="66"/>
    </row>
    <row r="40" spans="1:23" ht="15" thickBot="1" x14ac:dyDescent="0.3">
      <c r="A40" s="107">
        <v>6.9444444444444397E-3</v>
      </c>
      <c r="B40" s="109">
        <v>10.626439</v>
      </c>
      <c r="C40" s="109">
        <v>10.006752000000001</v>
      </c>
      <c r="D40" s="109">
        <v>1078.4739999999999</v>
      </c>
      <c r="E40" s="109">
        <v>61.214447</v>
      </c>
      <c r="F40" s="109">
        <v>16.165144000000002</v>
      </c>
      <c r="G40" s="110">
        <v>186.01499999999999</v>
      </c>
      <c r="H40" s="110">
        <v>25.734997</v>
      </c>
      <c r="I40" s="23"/>
      <c r="J40" s="82" t="s">
        <v>22</v>
      </c>
      <c r="K40" s="88">
        <f ca="1">K25</f>
        <v>190.91921910614522</v>
      </c>
      <c r="L40" s="10"/>
      <c r="M40" s="89"/>
      <c r="N40" s="90"/>
      <c r="O40" s="90"/>
      <c r="P40" s="46" t="s">
        <v>44</v>
      </c>
      <c r="Q40" s="91">
        <f ca="1">100-(Q35+Q37+Q39)</f>
        <v>81.636191711578235</v>
      </c>
      <c r="R40" s="46" t="s">
        <v>43</v>
      </c>
      <c r="S40" s="92"/>
      <c r="T40" s="93"/>
      <c r="V40" s="66"/>
      <c r="W40" s="66"/>
    </row>
    <row r="41" spans="1:23" ht="14.25" x14ac:dyDescent="0.25">
      <c r="A41" s="107">
        <v>7.1759259259259302E-3</v>
      </c>
      <c r="B41" s="109">
        <v>10.525086999999999</v>
      </c>
      <c r="C41" s="109">
        <v>10.07958</v>
      </c>
      <c r="D41" s="109">
        <v>1153.191</v>
      </c>
      <c r="E41" s="109">
        <v>61.368358999999998</v>
      </c>
      <c r="F41" s="109">
        <v>16.574024000000001</v>
      </c>
      <c r="G41" s="110">
        <v>186.59601000000001</v>
      </c>
      <c r="H41" s="110">
        <v>25.724003</v>
      </c>
      <c r="I41" s="23"/>
      <c r="J41" s="82" t="s">
        <v>23</v>
      </c>
      <c r="K41" s="94">
        <f ca="1">K26</f>
        <v>26.788806726257</v>
      </c>
      <c r="L41" s="10"/>
      <c r="M41" s="10"/>
      <c r="N41" s="10"/>
      <c r="O41" s="10"/>
      <c r="P41" s="10"/>
      <c r="Q41" s="40"/>
      <c r="R41" s="40"/>
      <c r="S41" s="70"/>
      <c r="T41" s="66"/>
      <c r="V41" s="66"/>
      <c r="W41" s="66"/>
    </row>
    <row r="42" spans="1:23" ht="15" thickBot="1" x14ac:dyDescent="0.3">
      <c r="A42" s="107">
        <v>7.4074074074074103E-3</v>
      </c>
      <c r="B42" s="109">
        <v>10.686619</v>
      </c>
      <c r="C42" s="109">
        <v>9.9342469999999992</v>
      </c>
      <c r="D42" s="109">
        <v>962.46204</v>
      </c>
      <c r="E42" s="109">
        <v>61.024932999999997</v>
      </c>
      <c r="F42" s="109">
        <v>14.472151</v>
      </c>
      <c r="G42" s="110">
        <v>187.30286000000001</v>
      </c>
      <c r="H42" s="110">
        <v>25.744285999999999</v>
      </c>
      <c r="I42" s="23"/>
      <c r="J42" s="82" t="s">
        <v>24</v>
      </c>
      <c r="K42" s="88">
        <f>K15*1000</f>
        <v>15799.920000000004</v>
      </c>
      <c r="L42" s="10"/>
      <c r="U42" s="66"/>
      <c r="V42" s="66"/>
      <c r="W42" s="66"/>
    </row>
    <row r="43" spans="1:23" ht="14.25" x14ac:dyDescent="0.25">
      <c r="A43" s="107">
        <v>7.6388888888888904E-3</v>
      </c>
      <c r="B43" s="109">
        <v>10.142543</v>
      </c>
      <c r="C43" s="109">
        <v>10.402158999999999</v>
      </c>
      <c r="D43" s="109">
        <v>1177.7092</v>
      </c>
      <c r="E43" s="109">
        <v>62.033164999999997</v>
      </c>
      <c r="F43" s="109">
        <v>14.64015</v>
      </c>
      <c r="G43" s="110">
        <v>188.27847</v>
      </c>
      <c r="H43" s="110">
        <v>25.761499000000001</v>
      </c>
      <c r="I43" s="23"/>
      <c r="J43" s="29" t="s">
        <v>34</v>
      </c>
      <c r="K43" s="5">
        <v>0</v>
      </c>
      <c r="L43" s="10"/>
      <c r="M43" s="178"/>
      <c r="N43" s="96"/>
      <c r="O43" s="96"/>
      <c r="Q43" s="213" t="s">
        <v>72</v>
      </c>
      <c r="R43" s="226"/>
      <c r="S43" s="147">
        <f ca="1">K34*K42/3600</f>
        <v>44.381797752809007</v>
      </c>
      <c r="T43" s="148" t="s">
        <v>71</v>
      </c>
      <c r="U43" s="148"/>
      <c r="V43" s="149"/>
    </row>
    <row r="44" spans="1:23" ht="13.5" thickBot="1" x14ac:dyDescent="0.25">
      <c r="A44" s="107">
        <v>7.8703703703703696E-3</v>
      </c>
      <c r="B44" s="109">
        <v>10.287428999999999</v>
      </c>
      <c r="C44" s="109">
        <v>10.304842000000001</v>
      </c>
      <c r="D44" s="109">
        <v>1096.1211000000001</v>
      </c>
      <c r="E44" s="109">
        <v>64.138489000000007</v>
      </c>
      <c r="F44" s="109">
        <v>14.610429</v>
      </c>
      <c r="G44" s="110">
        <v>189.7415</v>
      </c>
      <c r="H44" s="110">
        <v>25.768000000000001</v>
      </c>
      <c r="I44" s="23"/>
      <c r="J44" s="95" t="s">
        <v>35</v>
      </c>
      <c r="K44" s="5">
        <v>0</v>
      </c>
      <c r="L44" s="73"/>
      <c r="M44" s="98"/>
      <c r="N44" s="180"/>
      <c r="O44" s="6"/>
      <c r="Q44" s="227" t="s">
        <v>109</v>
      </c>
      <c r="R44" s="228"/>
      <c r="S44" s="150">
        <f ca="1">G3*K42/3600*S23/100/U44</f>
        <v>8.9572590149138858</v>
      </c>
      <c r="T44" s="151" t="s">
        <v>71</v>
      </c>
      <c r="U44" s="152">
        <v>4</v>
      </c>
      <c r="V44" s="153" t="s">
        <v>70</v>
      </c>
      <c r="W44" s="65"/>
    </row>
    <row r="45" spans="1:23" ht="15" thickBot="1" x14ac:dyDescent="0.3">
      <c r="A45" s="107">
        <v>8.1018518518518497E-3</v>
      </c>
      <c r="B45" s="109">
        <v>9.9222956</v>
      </c>
      <c r="C45" s="109">
        <v>10.627485999999999</v>
      </c>
      <c r="D45" s="109">
        <v>1225.1836000000001</v>
      </c>
      <c r="E45" s="109">
        <v>64.524422000000001</v>
      </c>
      <c r="F45" s="109">
        <v>14.001676</v>
      </c>
      <c r="G45" s="110">
        <v>191.96857</v>
      </c>
      <c r="H45" s="110">
        <v>25.759998</v>
      </c>
      <c r="I45" s="23"/>
      <c r="J45" s="29" t="s">
        <v>55</v>
      </c>
      <c r="K45" s="8" t="e">
        <f>AVERAGE(#REF!)*1000</f>
        <v>#REF!</v>
      </c>
      <c r="M45" s="100"/>
      <c r="N45" s="180"/>
      <c r="O45" s="6"/>
      <c r="Q45" s="40"/>
      <c r="R45" s="70"/>
      <c r="S45" s="66"/>
      <c r="T45" s="66"/>
      <c r="U45" s="66"/>
      <c r="V45" s="66"/>
    </row>
    <row r="46" spans="1:23" ht="13.5" thickBot="1" x14ac:dyDescent="0.25">
      <c r="A46" s="107">
        <v>8.3333333333333297E-3</v>
      </c>
      <c r="B46" s="109">
        <v>9.7382144999999998</v>
      </c>
      <c r="C46" s="109">
        <v>10.847792</v>
      </c>
      <c r="D46" s="109">
        <v>1302.4862000000001</v>
      </c>
      <c r="E46" s="109">
        <v>64.350600999999997</v>
      </c>
      <c r="F46" s="109">
        <v>12.903826</v>
      </c>
      <c r="G46" s="110">
        <v>193.56451000000001</v>
      </c>
      <c r="H46" s="110">
        <v>25.739498000000001</v>
      </c>
      <c r="I46" s="23"/>
      <c r="J46" s="29" t="s">
        <v>54</v>
      </c>
      <c r="K46" s="97">
        <f>N46</f>
        <v>0</v>
      </c>
      <c r="M46" s="101"/>
      <c r="N46" s="102"/>
      <c r="O46" s="102"/>
      <c r="Q46" s="24"/>
      <c r="R46" s="213"/>
      <c r="S46" s="226"/>
      <c r="T46" s="214"/>
      <c r="U46" s="213"/>
      <c r="V46" s="214"/>
    </row>
    <row r="47" spans="1:23" ht="14.25" x14ac:dyDescent="0.25">
      <c r="A47" s="107">
        <v>8.5648148148148098E-3</v>
      </c>
      <c r="B47" s="109">
        <v>9.6177778000000007</v>
      </c>
      <c r="C47" s="109">
        <v>10.937388</v>
      </c>
      <c r="D47" s="109">
        <v>1230.741</v>
      </c>
      <c r="E47" s="109">
        <v>64.802490000000006</v>
      </c>
      <c r="F47" s="109">
        <v>12.007501</v>
      </c>
      <c r="G47" s="110">
        <v>194.63503</v>
      </c>
      <c r="H47" s="110">
        <v>25.707998</v>
      </c>
      <c r="I47" s="23"/>
      <c r="J47" s="29" t="s">
        <v>56</v>
      </c>
      <c r="K47" s="154">
        <v>4.1900000000000004</v>
      </c>
      <c r="Q47" s="79"/>
      <c r="R47" s="215"/>
      <c r="S47" s="216"/>
      <c r="T47" s="217"/>
      <c r="U47" s="158"/>
      <c r="V47" s="156"/>
    </row>
    <row r="48" spans="1:23" ht="13.5" thickBot="1" x14ac:dyDescent="0.25">
      <c r="A48" s="107">
        <v>8.7962962962963003E-3</v>
      </c>
      <c r="B48" s="109">
        <v>9.7386236000000004</v>
      </c>
      <c r="C48" s="109">
        <v>10.891142</v>
      </c>
      <c r="D48" s="109">
        <v>1218.3209999999999</v>
      </c>
      <c r="E48" s="109">
        <v>64.683327000000006</v>
      </c>
      <c r="F48" s="109">
        <v>12.81645</v>
      </c>
      <c r="G48" s="110">
        <v>195.18149</v>
      </c>
      <c r="H48" s="110">
        <v>25.688500999999999</v>
      </c>
      <c r="I48" s="23"/>
      <c r="J48" s="99" t="s">
        <v>160</v>
      </c>
      <c r="K48" s="155">
        <v>70</v>
      </c>
      <c r="Q48" s="79"/>
      <c r="R48" s="158"/>
      <c r="S48" s="27"/>
      <c r="T48" s="157"/>
      <c r="U48" s="158"/>
      <c r="V48" s="157"/>
    </row>
    <row r="49" spans="1:22" x14ac:dyDescent="0.2">
      <c r="A49" s="107">
        <v>9.0277777777777804E-3</v>
      </c>
      <c r="B49" s="109">
        <v>9.7552900000000005</v>
      </c>
      <c r="C49" s="109">
        <v>10.808707999999999</v>
      </c>
      <c r="D49" s="109">
        <v>1270.1963000000001</v>
      </c>
      <c r="E49" s="109">
        <v>64.084618000000006</v>
      </c>
      <c r="F49" s="109">
        <v>13.563226999999999</v>
      </c>
      <c r="G49" s="110">
        <v>195.93571</v>
      </c>
      <c r="H49" s="110">
        <v>25.661428000000001</v>
      </c>
      <c r="I49" s="23"/>
      <c r="Q49" s="164"/>
      <c r="R49" s="166"/>
      <c r="S49" s="160"/>
      <c r="T49" s="162"/>
      <c r="U49" s="169"/>
      <c r="V49" s="168"/>
    </row>
    <row r="50" spans="1:22" x14ac:dyDescent="0.2">
      <c r="A50" s="107">
        <v>9.2592592592592605E-3</v>
      </c>
      <c r="B50" s="109">
        <v>9.4472103000000001</v>
      </c>
      <c r="C50" s="109">
        <v>11.107991999999999</v>
      </c>
      <c r="D50" s="109">
        <v>1382.4655</v>
      </c>
      <c r="E50" s="109">
        <v>65.761634999999998</v>
      </c>
      <c r="F50" s="109">
        <v>13.349788</v>
      </c>
      <c r="G50" s="110">
        <v>196.97299000000001</v>
      </c>
      <c r="H50" s="110">
        <v>25.676497999999999</v>
      </c>
      <c r="I50" s="23"/>
      <c r="Q50" s="164"/>
      <c r="R50" s="166"/>
      <c r="S50" s="160"/>
      <c r="T50" s="162"/>
      <c r="U50" s="169"/>
      <c r="V50" s="159"/>
    </row>
    <row r="51" spans="1:22" ht="13.5" thickBot="1" x14ac:dyDescent="0.25">
      <c r="A51" s="107">
        <v>9.4907407407407406E-3</v>
      </c>
      <c r="B51" s="109">
        <v>9.5498209000000003</v>
      </c>
      <c r="C51" s="109">
        <v>11.021242000000001</v>
      </c>
      <c r="D51" s="109">
        <v>1285.5696</v>
      </c>
      <c r="E51" s="109">
        <v>64.840255999999997</v>
      </c>
      <c r="F51" s="109">
        <v>12.953250000000001</v>
      </c>
      <c r="G51" s="110">
        <v>197.6525</v>
      </c>
      <c r="H51" s="110">
        <v>25.676998000000001</v>
      </c>
      <c r="I51" s="23"/>
      <c r="Q51" s="165"/>
      <c r="R51" s="167"/>
      <c r="S51" s="161"/>
      <c r="T51" s="163"/>
      <c r="U51" s="170"/>
      <c r="V51" s="153"/>
    </row>
    <row r="52" spans="1:22" x14ac:dyDescent="0.2">
      <c r="A52" s="107">
        <v>9.7222222222222206E-3</v>
      </c>
      <c r="B52" s="109">
        <v>9.5406484999999996</v>
      </c>
      <c r="C52" s="109">
        <v>11.024176000000001</v>
      </c>
      <c r="D52" s="109">
        <v>1396.4547</v>
      </c>
      <c r="E52" s="109">
        <v>64.178359999999998</v>
      </c>
      <c r="F52" s="109">
        <v>13.294426</v>
      </c>
      <c r="G52" s="110">
        <v>198.60095000000001</v>
      </c>
      <c r="H52" s="110">
        <v>25.700478</v>
      </c>
      <c r="I52" s="23"/>
    </row>
    <row r="53" spans="1:22" ht="13.5" thickBot="1" x14ac:dyDescent="0.25">
      <c r="A53" s="107">
        <v>9.9537037037037007E-3</v>
      </c>
      <c r="B53" s="109">
        <v>9.5289926999999999</v>
      </c>
      <c r="C53" s="109">
        <v>10.982996</v>
      </c>
      <c r="D53" s="109">
        <v>1376.5021999999999</v>
      </c>
      <c r="E53" s="109">
        <v>63.277416000000002</v>
      </c>
      <c r="F53" s="109">
        <v>12.676427</v>
      </c>
      <c r="G53" s="110">
        <v>199.68401</v>
      </c>
      <c r="H53" s="110">
        <v>25.690999999999999</v>
      </c>
      <c r="I53" s="23"/>
    </row>
    <row r="54" spans="1:22" ht="12.75" customHeight="1" x14ac:dyDescent="0.2">
      <c r="A54" s="107">
        <v>1.01851851851852E-2</v>
      </c>
      <c r="B54" s="109">
        <v>9.3863658999999995</v>
      </c>
      <c r="C54" s="109">
        <v>11.151077000000001</v>
      </c>
      <c r="D54" s="109">
        <v>1307.4794999999999</v>
      </c>
      <c r="E54" s="109">
        <v>65.170012999999997</v>
      </c>
      <c r="F54" s="109">
        <v>11.878358</v>
      </c>
      <c r="G54" s="110">
        <v>199.7</v>
      </c>
      <c r="H54" s="110">
        <v>25.742999999999999</v>
      </c>
      <c r="I54" s="23"/>
      <c r="J54" s="221" t="s">
        <v>178</v>
      </c>
      <c r="K54" s="222"/>
      <c r="L54" s="222"/>
      <c r="M54" s="222" t="str">
        <f>IF(K5="Pellets","Nicht notwendig",(IF(K5="Buche","Buche","Fichte")))</f>
        <v>Buche</v>
      </c>
      <c r="N54" s="222"/>
      <c r="O54" s="25"/>
      <c r="P54" s="222" t="s">
        <v>183</v>
      </c>
      <c r="Q54" s="222"/>
      <c r="R54" s="222"/>
      <c r="S54" s="222" t="str">
        <f>IF(K5="Pellets","Nicht notwendig",(IF(K5="Buche","Buche","Fichte")))</f>
        <v>Buche</v>
      </c>
      <c r="T54" s="222"/>
      <c r="U54" s="25"/>
      <c r="V54" s="26"/>
    </row>
    <row r="55" spans="1:22" ht="12.75" customHeight="1" x14ac:dyDescent="0.2">
      <c r="A55" s="107">
        <v>1.0416666666666701E-2</v>
      </c>
      <c r="B55" s="109">
        <v>9.3844700000000003</v>
      </c>
      <c r="C55" s="109">
        <v>11.132102</v>
      </c>
      <c r="D55" s="109">
        <v>1343.7221999999999</v>
      </c>
      <c r="E55" s="109">
        <v>64.170029</v>
      </c>
      <c r="F55" s="109">
        <v>12.009074</v>
      </c>
      <c r="G55" s="110">
        <v>199.92098999999999</v>
      </c>
      <c r="H55" s="110">
        <v>25.766504000000001</v>
      </c>
      <c r="I55" s="23"/>
      <c r="J55" s="219" t="str">
        <f>IF(ABS(ROUND(U62,0)-ROUND(N63,0))&gt;2,"Wassergehaltsbestimmung - DIN 51718 wiederholen","")</f>
        <v/>
      </c>
      <c r="K55" s="220"/>
      <c r="L55" s="220"/>
      <c r="M55" s="220"/>
      <c r="N55" s="181"/>
      <c r="P55" s="188" t="s">
        <v>163</v>
      </c>
      <c r="V55" s="30"/>
    </row>
    <row r="56" spans="1:22" ht="12.75" customHeight="1" x14ac:dyDescent="0.2">
      <c r="A56" s="107">
        <v>1.0648148148148099E-2</v>
      </c>
      <c r="B56" s="109">
        <v>9.4268702999999991</v>
      </c>
      <c r="C56" s="109">
        <v>11.128152999999999</v>
      </c>
      <c r="D56" s="109">
        <v>1313.0342000000001</v>
      </c>
      <c r="E56" s="109">
        <v>63.168823000000003</v>
      </c>
      <c r="F56" s="109">
        <v>11.171625000000001</v>
      </c>
      <c r="G56" s="110">
        <v>200.30047999999999</v>
      </c>
      <c r="H56" s="110">
        <v>25.775713</v>
      </c>
      <c r="I56" s="23"/>
      <c r="J56" s="189" t="s">
        <v>173</v>
      </c>
      <c r="K56" s="190" t="s">
        <v>174</v>
      </c>
      <c r="L56" s="190" t="s">
        <v>175</v>
      </c>
      <c r="M56" s="191" t="s">
        <v>176</v>
      </c>
      <c r="N56" s="191" t="s">
        <v>177</v>
      </c>
      <c r="P56" s="192" t="str">
        <f>K5</f>
        <v>Buche</v>
      </c>
      <c r="Q56" s="193" t="s">
        <v>179</v>
      </c>
      <c r="R56" s="193" t="s">
        <v>182</v>
      </c>
      <c r="S56" s="193" t="s">
        <v>181</v>
      </c>
      <c r="T56" s="193" t="s">
        <v>180</v>
      </c>
      <c r="U56" s="193"/>
      <c r="V56" s="194"/>
    </row>
    <row r="57" spans="1:22" x14ac:dyDescent="0.2">
      <c r="A57" s="107">
        <v>1.08796296296296E-2</v>
      </c>
      <c r="B57" s="109">
        <v>9.3275099000000008</v>
      </c>
      <c r="C57" s="109">
        <v>11.141164</v>
      </c>
      <c r="D57" s="109">
        <v>1393.1385</v>
      </c>
      <c r="E57" s="109">
        <v>62.007679000000003</v>
      </c>
      <c r="F57" s="109">
        <v>11.175857000000001</v>
      </c>
      <c r="G57" s="110">
        <v>201.94248999999999</v>
      </c>
      <c r="H57" s="110">
        <v>25.767502</v>
      </c>
      <c r="I57" s="23"/>
      <c r="J57" s="189"/>
      <c r="K57" s="190" t="s">
        <v>5</v>
      </c>
      <c r="L57" s="190" t="s">
        <v>5</v>
      </c>
      <c r="M57" s="191" t="s">
        <v>5</v>
      </c>
      <c r="N57" s="191" t="s">
        <v>5</v>
      </c>
      <c r="P57" s="193" t="s">
        <v>164</v>
      </c>
      <c r="Q57" s="193" t="s">
        <v>165</v>
      </c>
      <c r="R57" s="193" t="s">
        <v>166</v>
      </c>
      <c r="S57" s="193" t="s">
        <v>167</v>
      </c>
      <c r="T57" s="193" t="s">
        <v>168</v>
      </c>
      <c r="U57" s="193" t="s">
        <v>162</v>
      </c>
      <c r="V57" s="194" t="s">
        <v>161</v>
      </c>
    </row>
    <row r="58" spans="1:22" x14ac:dyDescent="0.2">
      <c r="A58" s="107">
        <v>1.1111111111111099E-2</v>
      </c>
      <c r="B58" s="109">
        <v>9.5760441000000007</v>
      </c>
      <c r="C58" s="109">
        <v>10.903772999999999</v>
      </c>
      <c r="D58" s="109">
        <v>1427.8711000000001</v>
      </c>
      <c r="E58" s="109">
        <v>60.308166999999997</v>
      </c>
      <c r="F58" s="109">
        <v>10.997551</v>
      </c>
      <c r="G58" s="110">
        <v>203.59598</v>
      </c>
      <c r="H58" s="110">
        <v>25.797001000000002</v>
      </c>
      <c r="I58" s="23"/>
      <c r="J58" s="189">
        <v>1</v>
      </c>
      <c r="K58" s="182">
        <v>14</v>
      </c>
      <c r="L58" s="184">
        <v>13</v>
      </c>
      <c r="M58" s="191">
        <f>AVERAGE(K58:L58)</f>
        <v>13.5</v>
      </c>
      <c r="N58" s="191">
        <f>M58/(100+M58)*100</f>
        <v>11.894273127753303</v>
      </c>
      <c r="P58" s="193" t="s">
        <v>169</v>
      </c>
      <c r="Q58" s="183">
        <v>51.347000000000001</v>
      </c>
      <c r="R58" s="183">
        <v>53.538200000000003</v>
      </c>
      <c r="S58" s="183">
        <v>51.821800000000003</v>
      </c>
      <c r="T58" s="183">
        <v>42.9435</v>
      </c>
      <c r="U58" s="193"/>
      <c r="V58" s="200">
        <v>44109</v>
      </c>
    </row>
    <row r="59" spans="1:22" x14ac:dyDescent="0.2">
      <c r="A59" s="107">
        <v>1.13425925925926E-2</v>
      </c>
      <c r="B59" s="109">
        <v>9.3841275999999993</v>
      </c>
      <c r="C59" s="109">
        <v>11.066435</v>
      </c>
      <c r="D59" s="109">
        <v>1580.5780999999999</v>
      </c>
      <c r="E59" s="109">
        <v>59.471600000000002</v>
      </c>
      <c r="F59" s="109">
        <v>11.128575</v>
      </c>
      <c r="G59" s="110">
        <v>204.90478999999999</v>
      </c>
      <c r="H59" s="110">
        <v>25.810476000000001</v>
      </c>
      <c r="I59" s="23"/>
      <c r="J59" s="189">
        <v>2</v>
      </c>
      <c r="K59" s="182">
        <v>15</v>
      </c>
      <c r="L59" s="182">
        <v>15</v>
      </c>
      <c r="M59" s="191">
        <f t="shared" ref="M59:M60" si="0">AVERAGE(K59:L59)</f>
        <v>15</v>
      </c>
      <c r="N59" s="191">
        <f t="shared" ref="N59:N60" si="1">M59/(100+M59)*100</f>
        <v>13.043478260869565</v>
      </c>
      <c r="P59" s="193" t="s">
        <v>170</v>
      </c>
      <c r="Q59" s="183">
        <v>45.301699999999997</v>
      </c>
      <c r="R59" s="183">
        <v>47.590600000000002</v>
      </c>
      <c r="S59" s="183">
        <v>45.506</v>
      </c>
      <c r="T59" s="183">
        <v>38.207999999999998</v>
      </c>
      <c r="U59" s="193"/>
      <c r="V59" s="200">
        <v>44110</v>
      </c>
    </row>
    <row r="60" spans="1:22" x14ac:dyDescent="0.2">
      <c r="A60" s="107">
        <v>1.1574074074074099E-2</v>
      </c>
      <c r="B60" s="109">
        <v>9.6340895</v>
      </c>
      <c r="C60" s="109">
        <v>10.881084</v>
      </c>
      <c r="D60" s="109">
        <v>1466.4603</v>
      </c>
      <c r="E60" s="109">
        <v>60.881583999999997</v>
      </c>
      <c r="F60" s="109">
        <v>10.477876999999999</v>
      </c>
      <c r="G60" s="110">
        <v>205.12151</v>
      </c>
      <c r="H60" s="110">
        <v>25.816502</v>
      </c>
      <c r="I60" s="23"/>
      <c r="J60" s="189">
        <v>3</v>
      </c>
      <c r="K60" s="182">
        <v>14</v>
      </c>
      <c r="L60" s="182">
        <v>13</v>
      </c>
      <c r="M60" s="191">
        <f t="shared" si="0"/>
        <v>13.5</v>
      </c>
      <c r="N60" s="191">
        <f t="shared" si="1"/>
        <v>11.894273127753303</v>
      </c>
      <c r="P60" s="193" t="s">
        <v>171</v>
      </c>
      <c r="Q60" s="195">
        <f>Q58-Q59</f>
        <v>6.0453000000000046</v>
      </c>
      <c r="R60" s="195">
        <f t="shared" ref="R60:T60" si="2">R58-R59</f>
        <v>5.9476000000000013</v>
      </c>
      <c r="S60" s="195">
        <f t="shared" si="2"/>
        <v>6.315800000000003</v>
      </c>
      <c r="T60" s="195">
        <f t="shared" si="2"/>
        <v>4.7355000000000018</v>
      </c>
      <c r="U60" s="193"/>
      <c r="V60" s="194"/>
    </row>
    <row r="61" spans="1:22" x14ac:dyDescent="0.2">
      <c r="A61" s="107">
        <v>1.18055555555556E-2</v>
      </c>
      <c r="B61" s="109">
        <v>9.4936255999999997</v>
      </c>
      <c r="C61" s="109">
        <v>10.939678000000001</v>
      </c>
      <c r="D61" s="109">
        <v>1519.377</v>
      </c>
      <c r="E61" s="109">
        <v>60.279186000000003</v>
      </c>
      <c r="F61" s="109">
        <v>11.786643</v>
      </c>
      <c r="G61" s="110">
        <v>204.96254999999999</v>
      </c>
      <c r="H61" s="110">
        <v>25.836995999999999</v>
      </c>
      <c r="I61" s="23"/>
      <c r="J61" s="189" t="s">
        <v>98</v>
      </c>
      <c r="K61" s="190"/>
      <c r="L61" s="190"/>
      <c r="M61" s="191">
        <f>MAX(M58:M60)</f>
        <v>15</v>
      </c>
      <c r="N61" s="191">
        <f>MAX(N58:N60)</f>
        <v>13.043478260869565</v>
      </c>
      <c r="P61" s="193" t="s">
        <v>172</v>
      </c>
      <c r="Q61" s="192">
        <f>Q60/Q58*100</f>
        <v>11.773423958556496</v>
      </c>
      <c r="R61" s="192">
        <f t="shared" ref="R61:T61" si="3">R60/R58*100</f>
        <v>11.109077256986602</v>
      </c>
      <c r="S61" s="192">
        <f t="shared" si="3"/>
        <v>12.187534975628022</v>
      </c>
      <c r="T61" s="192">
        <f t="shared" si="3"/>
        <v>11.027280030738067</v>
      </c>
      <c r="U61" s="192"/>
      <c r="V61" s="194"/>
    </row>
    <row r="62" spans="1:22" x14ac:dyDescent="0.2">
      <c r="A62" s="107">
        <v>1.2037037037037001E-2</v>
      </c>
      <c r="B62" s="109">
        <v>9.4811201000000001</v>
      </c>
      <c r="C62" s="109">
        <v>11.001106999999999</v>
      </c>
      <c r="D62" s="109">
        <v>1645.5785000000001</v>
      </c>
      <c r="E62" s="109">
        <v>58.951037999999997</v>
      </c>
      <c r="F62" s="109">
        <v>10.858499999999999</v>
      </c>
      <c r="G62" s="110">
        <v>205.07397</v>
      </c>
      <c r="H62" s="110">
        <v>25.844501000000001</v>
      </c>
      <c r="I62" s="23"/>
      <c r="J62" s="189" t="s">
        <v>99</v>
      </c>
      <c r="K62" s="190"/>
      <c r="L62" s="190"/>
      <c r="M62" s="191">
        <f>MIN(M58:M60)</f>
        <v>13.5</v>
      </c>
      <c r="N62" s="191">
        <f>MIN(N58:N60)</f>
        <v>11.894273127753303</v>
      </c>
      <c r="P62" s="193" t="s">
        <v>172</v>
      </c>
      <c r="Q62" s="218">
        <f>AVERAGE(Q61:R61)</f>
        <v>11.441250607771549</v>
      </c>
      <c r="R62" s="218"/>
      <c r="S62" s="218">
        <f>AVERAGE(S61:T61)</f>
        <v>11.607407503183044</v>
      </c>
      <c r="T62" s="218"/>
      <c r="U62" s="192">
        <f>AVERAGE(Q62:T62)</f>
        <v>11.524329055477295</v>
      </c>
      <c r="V62" s="194"/>
    </row>
    <row r="63" spans="1:22" ht="13.5" thickBot="1" x14ac:dyDescent="0.25">
      <c r="A63" s="107">
        <v>1.22685185185185E-2</v>
      </c>
      <c r="B63" s="109">
        <v>9.8714923999999993</v>
      </c>
      <c r="C63" s="109">
        <v>10.629591</v>
      </c>
      <c r="D63" s="109">
        <v>1339.4626000000001</v>
      </c>
      <c r="E63" s="109">
        <v>59.191803</v>
      </c>
      <c r="F63" s="109">
        <v>9.5408992999999995</v>
      </c>
      <c r="G63" s="110">
        <v>205.19333</v>
      </c>
      <c r="H63" s="110">
        <v>25.879999000000002</v>
      </c>
      <c r="I63" s="23"/>
      <c r="J63" s="196" t="s">
        <v>162</v>
      </c>
      <c r="K63" s="197"/>
      <c r="L63" s="197"/>
      <c r="M63" s="198">
        <f>AVERAGE(M58:M60)</f>
        <v>14</v>
      </c>
      <c r="N63" s="199">
        <f>AVERAGE(N58:N60)</f>
        <v>12.277341505458724</v>
      </c>
      <c r="O63" s="46"/>
      <c r="P63" s="46"/>
      <c r="Q63" s="46"/>
      <c r="R63" s="46"/>
      <c r="S63" s="46"/>
      <c r="T63" s="46"/>
      <c r="U63" s="46"/>
      <c r="V63" s="47"/>
    </row>
    <row r="64" spans="1:22" x14ac:dyDescent="0.2">
      <c r="A64" s="107">
        <v>1.2500000000000001E-2</v>
      </c>
      <c r="B64" s="109">
        <v>9.7979517000000005</v>
      </c>
      <c r="C64" s="109">
        <v>10.627770999999999</v>
      </c>
      <c r="D64" s="109">
        <v>1454.7699</v>
      </c>
      <c r="E64" s="109">
        <v>58.057583000000001</v>
      </c>
      <c r="F64" s="109">
        <v>9.7632855999999997</v>
      </c>
      <c r="G64" s="110">
        <v>205.06049999999999</v>
      </c>
      <c r="H64" s="110">
        <v>25.905003000000001</v>
      </c>
      <c r="I64" s="23"/>
    </row>
    <row r="65" spans="1:17" x14ac:dyDescent="0.2">
      <c r="A65" s="107">
        <v>1.27314814814815E-2</v>
      </c>
      <c r="B65" s="109">
        <v>9.7196292999999994</v>
      </c>
      <c r="C65" s="109">
        <v>10.768846999999999</v>
      </c>
      <c r="D65" s="109">
        <v>1497.4834000000001</v>
      </c>
      <c r="E65" s="109">
        <v>59.182929999999999</v>
      </c>
      <c r="F65" s="109">
        <v>9.4790249000000006</v>
      </c>
      <c r="G65" s="110">
        <v>207.24301</v>
      </c>
      <c r="H65" s="110">
        <v>25.970998999999999</v>
      </c>
      <c r="I65" s="23"/>
      <c r="N65" s="15"/>
    </row>
    <row r="66" spans="1:17" ht="13.5" thickBot="1" x14ac:dyDescent="0.25">
      <c r="A66" s="107">
        <v>1.2962962962963001E-2</v>
      </c>
      <c r="B66" s="109">
        <v>9.7520828000000002</v>
      </c>
      <c r="C66" s="109">
        <v>10.725529</v>
      </c>
      <c r="D66" s="109">
        <v>1558.6746000000001</v>
      </c>
      <c r="E66" s="109">
        <v>58.162059999999997</v>
      </c>
      <c r="F66" s="109">
        <v>10.000425</v>
      </c>
      <c r="G66" s="110">
        <v>208.19807</v>
      </c>
      <c r="H66" s="110">
        <v>25.963329000000002</v>
      </c>
      <c r="I66" s="23"/>
    </row>
    <row r="67" spans="1:17" ht="13.5" thickBot="1" x14ac:dyDescent="0.25">
      <c r="A67" s="107">
        <v>1.3194444444444399E-2</v>
      </c>
      <c r="B67" s="109">
        <v>9.7879982000000005</v>
      </c>
      <c r="C67" s="109">
        <v>10.710623</v>
      </c>
      <c r="D67" s="109">
        <v>1602.2211</v>
      </c>
      <c r="E67" s="109">
        <v>57.194267000000004</v>
      </c>
      <c r="F67" s="109">
        <v>10.125449</v>
      </c>
      <c r="G67" s="110">
        <v>208.42699999999999</v>
      </c>
      <c r="H67" s="110">
        <v>25.934998</v>
      </c>
      <c r="I67" s="23"/>
      <c r="J67" s="24" t="s">
        <v>122</v>
      </c>
      <c r="K67" s="25"/>
      <c r="L67" s="25"/>
      <c r="M67" s="25"/>
      <c r="N67" s="25"/>
      <c r="O67" s="25"/>
      <c r="P67" s="25"/>
      <c r="Q67" s="26"/>
    </row>
    <row r="68" spans="1:17" x14ac:dyDescent="0.2">
      <c r="A68" s="107">
        <v>1.34259259259259E-2</v>
      </c>
      <c r="B68" s="109">
        <v>9.9940405000000005</v>
      </c>
      <c r="C68" s="109">
        <v>10.497725000000001</v>
      </c>
      <c r="D68" s="109">
        <v>1480.6146000000001</v>
      </c>
      <c r="E68" s="109">
        <v>57.255608000000002</v>
      </c>
      <c r="F68" s="109">
        <v>9.8127154999999995</v>
      </c>
      <c r="G68" s="110">
        <v>208.60946999999999</v>
      </c>
      <c r="H68" s="110">
        <v>25.947500000000002</v>
      </c>
      <c r="I68" s="23"/>
      <c r="J68" s="201" t="s">
        <v>131</v>
      </c>
      <c r="K68" s="202"/>
      <c r="L68" s="202"/>
      <c r="M68" s="204"/>
      <c r="N68" s="205" t="s">
        <v>132</v>
      </c>
      <c r="O68" s="206"/>
      <c r="P68" s="206"/>
      <c r="Q68" s="207"/>
    </row>
    <row r="69" spans="1:17" x14ac:dyDescent="0.2">
      <c r="A69" s="107">
        <v>1.3657407407407399E-2</v>
      </c>
      <c r="B69" s="109">
        <v>10.044257</v>
      </c>
      <c r="C69" s="109">
        <v>10.468213</v>
      </c>
      <c r="D69" s="109">
        <v>1445.1016</v>
      </c>
      <c r="E69" s="109">
        <v>57.454101999999999</v>
      </c>
      <c r="F69" s="109">
        <v>10.440977</v>
      </c>
      <c r="G69" s="110">
        <v>208.56899999999999</v>
      </c>
      <c r="H69" s="110">
        <v>25.927999</v>
      </c>
      <c r="I69" s="23"/>
      <c r="J69" s="121"/>
      <c r="K69" s="119" t="s">
        <v>123</v>
      </c>
      <c r="L69" s="117" t="s">
        <v>130</v>
      </c>
      <c r="M69" s="131" t="s">
        <v>159</v>
      </c>
      <c r="N69" s="120"/>
      <c r="O69" s="171" t="s">
        <v>123</v>
      </c>
      <c r="P69" s="172" t="s">
        <v>130</v>
      </c>
      <c r="Q69" s="132" t="s">
        <v>159</v>
      </c>
    </row>
    <row r="70" spans="1:17" x14ac:dyDescent="0.2">
      <c r="A70" s="107">
        <v>1.38888888888889E-2</v>
      </c>
      <c r="B70" s="109">
        <v>10.245768</v>
      </c>
      <c r="C70" s="109">
        <v>10.21269</v>
      </c>
      <c r="D70" s="109">
        <v>1325.0551</v>
      </c>
      <c r="E70" s="109">
        <v>57.815734999999997</v>
      </c>
      <c r="F70" s="109">
        <v>10.068225</v>
      </c>
      <c r="G70" s="110">
        <v>208.75763000000001</v>
      </c>
      <c r="H70" s="110">
        <v>25.918096999999999</v>
      </c>
      <c r="I70" s="23"/>
      <c r="J70" s="137" t="s">
        <v>133</v>
      </c>
      <c r="K70" s="136">
        <v>0</v>
      </c>
      <c r="L70" s="136">
        <v>0</v>
      </c>
      <c r="M70" s="173">
        <v>0</v>
      </c>
      <c r="N70" s="112" t="s">
        <v>133</v>
      </c>
      <c r="O70" s="187">
        <f>ROUND(U62,0)</f>
        <v>12</v>
      </c>
      <c r="P70" s="187">
        <f>ROUND(U62,0)</f>
        <v>12</v>
      </c>
      <c r="Q70" s="176">
        <v>6.7</v>
      </c>
    </row>
    <row r="71" spans="1:17" x14ac:dyDescent="0.2">
      <c r="A71" s="107">
        <v>1.4120370370370399E-2</v>
      </c>
      <c r="B71" s="109">
        <v>9.9594869999999993</v>
      </c>
      <c r="C71" s="109">
        <v>10.458436000000001</v>
      </c>
      <c r="D71" s="109">
        <v>1505.0251000000001</v>
      </c>
      <c r="E71" s="109">
        <v>57.161017999999999</v>
      </c>
      <c r="F71" s="109">
        <v>10.205571000000001</v>
      </c>
      <c r="G71" s="110">
        <v>209.92497</v>
      </c>
      <c r="H71" s="110">
        <v>26.009003</v>
      </c>
      <c r="I71" s="23"/>
      <c r="J71" s="79" t="s">
        <v>61</v>
      </c>
      <c r="K71">
        <v>49.8</v>
      </c>
      <c r="L71" s="11">
        <v>50.64772727272728</v>
      </c>
      <c r="M71" s="174">
        <v>48.59</v>
      </c>
      <c r="N71" s="113" t="s">
        <v>61</v>
      </c>
      <c r="O71" s="11">
        <f t="shared" ref="O71:O77" si="4">(100-$O$70)/100*K71</f>
        <v>43.823999999999998</v>
      </c>
      <c r="P71" s="11">
        <f t="shared" ref="P71:P77" si="5">(100-$P$70)/100*L71</f>
        <v>44.570000000000007</v>
      </c>
      <c r="Q71" s="78">
        <f t="shared" ref="Q71:Q77" si="6">(100-$Q$70)/100*M71</f>
        <v>45.334470000000003</v>
      </c>
    </row>
    <row r="72" spans="1:17" x14ac:dyDescent="0.2">
      <c r="A72" s="107">
        <v>1.43518518518519E-2</v>
      </c>
      <c r="B72" s="109">
        <v>9.9010219999999993</v>
      </c>
      <c r="C72" s="109">
        <v>10.54757</v>
      </c>
      <c r="D72" s="109">
        <v>1629.2401</v>
      </c>
      <c r="E72" s="109">
        <v>58.462273000000003</v>
      </c>
      <c r="F72" s="109">
        <v>9.7164011000000006</v>
      </c>
      <c r="G72" s="110">
        <v>211.04199</v>
      </c>
      <c r="H72" s="110">
        <v>25.987997</v>
      </c>
      <c r="I72" s="23"/>
      <c r="J72" s="79" t="s">
        <v>62</v>
      </c>
      <c r="K72">
        <v>6.3</v>
      </c>
      <c r="L72" s="11">
        <v>5.6590909090909101</v>
      </c>
      <c r="M72" s="174">
        <v>6.13</v>
      </c>
      <c r="N72" s="113" t="s">
        <v>62</v>
      </c>
      <c r="O72" s="11">
        <f t="shared" si="4"/>
        <v>5.5439999999999996</v>
      </c>
      <c r="P72" s="11">
        <f t="shared" si="5"/>
        <v>4.9800000000000013</v>
      </c>
      <c r="Q72" s="78">
        <f t="shared" si="6"/>
        <v>5.7192899999999991</v>
      </c>
    </row>
    <row r="73" spans="1:17" x14ac:dyDescent="0.2">
      <c r="A73" s="107">
        <v>1.4583333333333301E-2</v>
      </c>
      <c r="B73" s="109">
        <v>10.353266</v>
      </c>
      <c r="C73" s="109">
        <v>10.188257</v>
      </c>
      <c r="D73" s="109">
        <v>1363.9902</v>
      </c>
      <c r="E73" s="109">
        <v>57.732025</v>
      </c>
      <c r="F73" s="109">
        <v>8.9235009999999999</v>
      </c>
      <c r="G73" s="110">
        <v>212.02097000000001</v>
      </c>
      <c r="H73" s="110">
        <v>25.912379999999999</v>
      </c>
      <c r="I73" s="23"/>
      <c r="J73" s="79" t="s">
        <v>124</v>
      </c>
      <c r="K73">
        <v>43.2</v>
      </c>
      <c r="L73" s="11">
        <v>43.13636363636364</v>
      </c>
      <c r="M73" s="174">
        <v>44.84</v>
      </c>
      <c r="N73" s="113" t="s">
        <v>124</v>
      </c>
      <c r="O73" s="11">
        <f t="shared" si="4"/>
        <v>38.016000000000005</v>
      </c>
      <c r="P73" s="11">
        <f t="shared" si="5"/>
        <v>37.96</v>
      </c>
      <c r="Q73" s="78">
        <f t="shared" si="6"/>
        <v>41.835720000000002</v>
      </c>
    </row>
    <row r="74" spans="1:17" x14ac:dyDescent="0.2">
      <c r="A74" s="107">
        <v>1.48148148148148E-2</v>
      </c>
      <c r="B74" s="109">
        <v>10.118712</v>
      </c>
      <c r="C74" s="109">
        <v>10.209705</v>
      </c>
      <c r="D74" s="109">
        <v>1331.6278</v>
      </c>
      <c r="E74" s="109">
        <v>57.886150000000001</v>
      </c>
      <c r="F74" s="109">
        <v>8.8802251999999999</v>
      </c>
      <c r="G74" s="110">
        <v>211.81853000000001</v>
      </c>
      <c r="H74" s="110">
        <v>25.857997999999998</v>
      </c>
      <c r="I74" s="23"/>
      <c r="J74" s="79" t="s">
        <v>125</v>
      </c>
      <c r="K74">
        <v>0.13</v>
      </c>
      <c r="L74" s="11">
        <v>0.21590909090909094</v>
      </c>
      <c r="M74" s="174">
        <v>0.13</v>
      </c>
      <c r="N74" s="113" t="s">
        <v>125</v>
      </c>
      <c r="O74" s="11">
        <f t="shared" si="4"/>
        <v>0.1144</v>
      </c>
      <c r="P74" s="11">
        <f t="shared" si="5"/>
        <v>0.19000000000000003</v>
      </c>
      <c r="Q74" s="78">
        <f t="shared" si="6"/>
        <v>0.12129</v>
      </c>
    </row>
    <row r="75" spans="1:17" x14ac:dyDescent="0.2">
      <c r="A75" s="107">
        <v>1.5046296296296301E-2</v>
      </c>
      <c r="B75" s="109">
        <v>9.7014245999999993</v>
      </c>
      <c r="C75" s="109">
        <v>10.68004</v>
      </c>
      <c r="D75" s="109">
        <v>1700.1663000000001</v>
      </c>
      <c r="E75" s="109">
        <v>58.336559000000001</v>
      </c>
      <c r="F75" s="109">
        <v>10.107430000000001</v>
      </c>
      <c r="G75" s="110">
        <v>210.84151</v>
      </c>
      <c r="H75" s="110">
        <v>25.923999999999999</v>
      </c>
      <c r="I75" s="23"/>
      <c r="J75" s="79" t="s">
        <v>126</v>
      </c>
      <c r="K75">
        <v>1.4999999999999999E-2</v>
      </c>
      <c r="L75" s="11">
        <v>1.1363636363636366E-2</v>
      </c>
      <c r="M75" s="174">
        <v>6.0000000000000001E-3</v>
      </c>
      <c r="N75" s="113" t="s">
        <v>126</v>
      </c>
      <c r="O75" s="11">
        <f t="shared" si="4"/>
        <v>1.32E-2</v>
      </c>
      <c r="P75" s="11">
        <f t="shared" si="5"/>
        <v>1.0000000000000002E-2</v>
      </c>
      <c r="Q75" s="78">
        <f t="shared" si="6"/>
        <v>5.5979999999999997E-3</v>
      </c>
    </row>
    <row r="76" spans="1:17" x14ac:dyDescent="0.2">
      <c r="A76" s="107">
        <v>1.52777777777778E-2</v>
      </c>
      <c r="B76" s="109">
        <v>9.9061717999999992</v>
      </c>
      <c r="C76" s="109">
        <v>10.550314999999999</v>
      </c>
      <c r="D76" s="109">
        <v>1752.5654</v>
      </c>
      <c r="E76" s="109">
        <v>57.589759999999998</v>
      </c>
      <c r="F76" s="109">
        <v>9.7776002999999996</v>
      </c>
      <c r="G76" s="110">
        <v>210.63149999999999</v>
      </c>
      <c r="H76" s="110">
        <v>25.903997</v>
      </c>
      <c r="I76" s="23"/>
      <c r="J76" s="79" t="s">
        <v>127</v>
      </c>
      <c r="K76">
        <v>5.0000000000000001E-3</v>
      </c>
      <c r="L76" s="11">
        <v>1.1363636363636366E-2</v>
      </c>
      <c r="M76" s="174">
        <v>2E-3</v>
      </c>
      <c r="N76" s="113" t="s">
        <v>127</v>
      </c>
      <c r="O76" s="11">
        <f t="shared" si="4"/>
        <v>4.4000000000000003E-3</v>
      </c>
      <c r="P76" s="11">
        <f t="shared" si="5"/>
        <v>1.0000000000000002E-2</v>
      </c>
      <c r="Q76" s="78">
        <f t="shared" si="6"/>
        <v>1.8659999999999998E-3</v>
      </c>
    </row>
    <row r="77" spans="1:17" x14ac:dyDescent="0.2">
      <c r="A77" s="107">
        <v>1.5509259259259301E-2</v>
      </c>
      <c r="B77" s="109">
        <v>10.090332</v>
      </c>
      <c r="C77" s="109">
        <v>10.400325</v>
      </c>
      <c r="D77" s="109">
        <v>1557.4799</v>
      </c>
      <c r="E77" s="109">
        <v>56.926765000000003</v>
      </c>
      <c r="F77" s="109">
        <v>8.5792494000000001</v>
      </c>
      <c r="G77" s="110">
        <v>211.06618</v>
      </c>
      <c r="H77" s="110">
        <v>25.871904000000001</v>
      </c>
      <c r="I77" s="23"/>
      <c r="J77" s="144" t="s">
        <v>128</v>
      </c>
      <c r="K77" s="115">
        <v>0.55000000000001137</v>
      </c>
      <c r="L77" s="116">
        <v>0.31818181818181823</v>
      </c>
      <c r="M77" s="175">
        <v>0.3</v>
      </c>
      <c r="N77" s="114" t="s">
        <v>128</v>
      </c>
      <c r="O77" s="11">
        <f t="shared" si="4"/>
        <v>0.48400000000001003</v>
      </c>
      <c r="P77" s="11">
        <f t="shared" si="5"/>
        <v>0.28000000000000003</v>
      </c>
      <c r="Q77" s="78">
        <f t="shared" si="6"/>
        <v>0.27989999999999998</v>
      </c>
    </row>
    <row r="78" spans="1:17" ht="13.5" thickBot="1" x14ac:dyDescent="0.25">
      <c r="A78" s="107">
        <v>1.5740740740740701E-2</v>
      </c>
      <c r="B78" s="109">
        <v>10.247312000000001</v>
      </c>
      <c r="C78" s="109">
        <v>10.187969000000001</v>
      </c>
      <c r="D78" s="109">
        <v>1210.6505</v>
      </c>
      <c r="E78" s="109">
        <v>57.769409000000003</v>
      </c>
      <c r="F78" s="109">
        <v>6.7779287999999998</v>
      </c>
      <c r="G78" s="110">
        <v>211.56851</v>
      </c>
      <c r="H78" s="110">
        <v>25.872</v>
      </c>
      <c r="I78" s="23"/>
      <c r="J78" s="124" t="s">
        <v>129</v>
      </c>
      <c r="K78" s="125">
        <f>SUM(K70:K77)</f>
        <v>100</v>
      </c>
      <c r="L78" s="125">
        <f>SUM(L70:L77)</f>
        <v>100.00000000000001</v>
      </c>
      <c r="M78" s="126">
        <f>SUM(M70:M77)</f>
        <v>99.99799999999999</v>
      </c>
      <c r="N78" s="127" t="s">
        <v>129</v>
      </c>
      <c r="O78" s="125">
        <f>SUM(O70:O77)</f>
        <v>100.00000000000001</v>
      </c>
      <c r="P78" s="125">
        <f>SUM(P70:P77)</f>
        <v>100.00000000000003</v>
      </c>
      <c r="Q78" s="128">
        <f>SUM(Q70:Q77)</f>
        <v>99.998134000000022</v>
      </c>
    </row>
    <row r="79" spans="1:17" ht="13.5" thickBot="1" x14ac:dyDescent="0.25">
      <c r="A79" s="107">
        <v>1.59722222222222E-2</v>
      </c>
      <c r="B79" s="109">
        <v>10.530805000000001</v>
      </c>
      <c r="C79" s="109">
        <v>9.9589329000000006</v>
      </c>
      <c r="D79" s="109">
        <v>1040.1168</v>
      </c>
      <c r="E79" s="109">
        <v>58.893970000000003</v>
      </c>
      <c r="F79" s="109">
        <v>6.7888503</v>
      </c>
      <c r="G79" s="110">
        <v>211.92348999999999</v>
      </c>
      <c r="H79" s="110">
        <v>25.929500999999998</v>
      </c>
      <c r="I79" s="23"/>
      <c r="J79" s="79"/>
      <c r="Q79" s="30"/>
    </row>
    <row r="80" spans="1:17" x14ac:dyDescent="0.2">
      <c r="A80" s="107">
        <v>1.6203703703703699E-2</v>
      </c>
      <c r="B80" s="109">
        <v>10.542284</v>
      </c>
      <c r="C80" s="109">
        <v>9.9342251000000008</v>
      </c>
      <c r="D80" s="109">
        <v>1166.4278999999999</v>
      </c>
      <c r="E80" s="109">
        <v>56.868561</v>
      </c>
      <c r="F80" s="109">
        <v>7.7050504999999996</v>
      </c>
      <c r="G80" s="110">
        <v>211.87904</v>
      </c>
      <c r="H80" s="110">
        <v>25.897141000000001</v>
      </c>
      <c r="I80" s="23"/>
      <c r="J80" s="133" t="s">
        <v>142</v>
      </c>
      <c r="K80" s="134"/>
      <c r="L80" s="134"/>
      <c r="M80" s="134"/>
      <c r="N80" s="145"/>
      <c r="Q80" s="30"/>
    </row>
    <row r="81" spans="1:17" x14ac:dyDescent="0.2">
      <c r="A81" s="107">
        <v>1.6435185185185198E-2</v>
      </c>
      <c r="B81" s="109">
        <v>10.849698999999999</v>
      </c>
      <c r="C81" s="109">
        <v>9.6056404000000004</v>
      </c>
      <c r="D81" s="109">
        <v>1032.1669999999999</v>
      </c>
      <c r="E81" s="109">
        <v>57.242595999999999</v>
      </c>
      <c r="F81" s="109">
        <v>7.7416505999999998</v>
      </c>
      <c r="G81" s="110">
        <v>211.49350000000001</v>
      </c>
      <c r="H81" s="110">
        <v>25.877497000000002</v>
      </c>
      <c r="I81" s="23"/>
      <c r="J81" s="121"/>
      <c r="K81" s="119" t="s">
        <v>123</v>
      </c>
      <c r="L81" s="117" t="s">
        <v>130</v>
      </c>
      <c r="M81" s="117" t="s">
        <v>121</v>
      </c>
      <c r="N81" s="132" t="s">
        <v>97</v>
      </c>
      <c r="Q81" s="30"/>
    </row>
    <row r="82" spans="1:17" ht="15.75" x14ac:dyDescent="0.3">
      <c r="A82" s="107">
        <v>1.6666666666666701E-2</v>
      </c>
      <c r="B82" s="109">
        <v>10.758940000000001</v>
      </c>
      <c r="C82" s="109">
        <v>9.6712570000000007</v>
      </c>
      <c r="D82" s="109">
        <v>1168.7107000000001</v>
      </c>
      <c r="E82" s="109">
        <v>56.352631000000002</v>
      </c>
      <c r="F82" s="109">
        <v>8.3142861999999997</v>
      </c>
      <c r="G82" s="110">
        <v>210.87601000000001</v>
      </c>
      <c r="H82" s="110">
        <v>25.943501000000001</v>
      </c>
      <c r="I82" s="23"/>
      <c r="J82" s="87" t="s">
        <v>144</v>
      </c>
      <c r="K82" s="11">
        <f>K83*0.21</f>
        <v>0.85930115039999988</v>
      </c>
      <c r="L82" s="11">
        <f>L83*0.21</f>
        <v>0.84226632000000023</v>
      </c>
      <c r="M82" s="11">
        <f>M83*0.21</f>
        <v>0.87043689381599987</v>
      </c>
      <c r="N82" s="122" t="s">
        <v>143</v>
      </c>
      <c r="Q82" s="30"/>
    </row>
    <row r="83" spans="1:17" ht="15.75" x14ac:dyDescent="0.3">
      <c r="A83" s="107">
        <v>1.68981481481481E-2</v>
      </c>
      <c r="B83" s="109">
        <v>10.963285000000001</v>
      </c>
      <c r="C83" s="109">
        <v>9.4498643999999992</v>
      </c>
      <c r="D83" s="109">
        <v>1102.0800999999999</v>
      </c>
      <c r="E83" s="109">
        <v>56.435402000000003</v>
      </c>
      <c r="F83" s="109">
        <v>8.5026016000000002</v>
      </c>
      <c r="G83" s="110">
        <v>210.55901</v>
      </c>
      <c r="H83" s="110">
        <v>25.963501000000001</v>
      </c>
      <c r="I83" s="23"/>
      <c r="J83" s="87" t="s">
        <v>136</v>
      </c>
      <c r="K83" s="11">
        <f>(8.88*O71+26.44*O72+3.32*O75-3.33*O73)/100</f>
        <v>4.0919102399999998</v>
      </c>
      <c r="L83" s="11">
        <f>(8.88*P71+26.44*P72+3.32*P75-3.33*P73)/100</f>
        <v>4.0107920000000012</v>
      </c>
      <c r="M83" s="11">
        <f>(8.88*Q71+26.44*Q72+3.32*Q75-3.33*Q73)/100</f>
        <v>4.1449375895999996</v>
      </c>
      <c r="N83" s="122" t="s">
        <v>143</v>
      </c>
      <c r="Q83" s="30"/>
    </row>
    <row r="84" spans="1:17" ht="15.75" x14ac:dyDescent="0.3">
      <c r="A84" s="107">
        <v>1.7129629629629599E-2</v>
      </c>
      <c r="B84" s="109">
        <v>10.943505</v>
      </c>
      <c r="C84" s="109">
        <v>9.5016327</v>
      </c>
      <c r="D84" s="109">
        <v>1129.7322999999999</v>
      </c>
      <c r="E84" s="109">
        <v>55.429248999999999</v>
      </c>
      <c r="F84" s="109">
        <v>7.0233755000000002</v>
      </c>
      <c r="G84" s="110">
        <v>210.54713000000001</v>
      </c>
      <c r="H84" s="110">
        <v>25.956665000000001</v>
      </c>
      <c r="I84" s="23"/>
      <c r="J84" s="87" t="s">
        <v>137</v>
      </c>
      <c r="K84" s="11">
        <f>(1.85*O71+0.68*O75+0.8*O74)/100+(K91-0.21)*K83</f>
        <v>4.0443580495999996</v>
      </c>
      <c r="L84" s="11">
        <f>(1.85*P71+0.68*P75)/100+(L91-0.21)*L83</f>
        <v>3.9931386800000013</v>
      </c>
      <c r="M84" s="11">
        <f>(1.85*Q71+0.68*Q75)/100+(M91-0.21)*M83</f>
        <v>4.113226457184</v>
      </c>
      <c r="N84" s="122" t="s">
        <v>143</v>
      </c>
      <c r="Q84" s="30"/>
    </row>
    <row r="85" spans="1:17" ht="15.75" x14ac:dyDescent="0.3">
      <c r="A85" s="107">
        <v>1.7361111111111101E-2</v>
      </c>
      <c r="B85" s="109">
        <v>11.082119</v>
      </c>
      <c r="C85" s="109">
        <v>9.3708457999999997</v>
      </c>
      <c r="D85" s="109">
        <v>943.32239000000004</v>
      </c>
      <c r="E85" s="109">
        <v>55.569954000000003</v>
      </c>
      <c r="F85" s="109">
        <v>6.5155721</v>
      </c>
      <c r="G85" s="110">
        <v>210.60500999999999</v>
      </c>
      <c r="H85" s="110">
        <v>25.978999999999999</v>
      </c>
      <c r="I85" s="23"/>
      <c r="J85" s="87" t="s">
        <v>138</v>
      </c>
      <c r="K85" s="11">
        <f>11.11*O72/100+1.24*O70/100</f>
        <v>0.76473839999999993</v>
      </c>
      <c r="L85" s="11">
        <f>11.11*P72/100+1.24*P70/100</f>
        <v>0.7020780000000002</v>
      </c>
      <c r="M85" s="11">
        <f>11.11*Q72/100+1.24*Q70/100</f>
        <v>0.7184931189999999</v>
      </c>
      <c r="N85" s="122" t="s">
        <v>143</v>
      </c>
      <c r="Q85" s="30"/>
    </row>
    <row r="86" spans="1:17" ht="15.75" x14ac:dyDescent="0.3">
      <c r="A86" s="107">
        <v>1.7592592592592601E-2</v>
      </c>
      <c r="B86" s="109">
        <v>11.260042</v>
      </c>
      <c r="C86" s="109">
        <v>9.1787051999999996</v>
      </c>
      <c r="D86" s="109">
        <v>851.56493999999998</v>
      </c>
      <c r="E86" s="109">
        <v>56.145439000000003</v>
      </c>
      <c r="F86" s="109">
        <v>6.4017004999999996</v>
      </c>
      <c r="G86" s="110">
        <v>211.18350000000001</v>
      </c>
      <c r="H86" s="110">
        <v>26.002499</v>
      </c>
      <c r="I86" s="23"/>
      <c r="J86" s="87" t="s">
        <v>141</v>
      </c>
      <c r="K86" s="11">
        <f>K84+11.11*O72/100+1.24*O70/100</f>
        <v>4.8090964495999993</v>
      </c>
      <c r="L86" s="11">
        <f>L84+11.11*P72/100+1.24*P70/100</f>
        <v>4.6952166800000015</v>
      </c>
      <c r="M86" s="11">
        <f>M84+11.11*Q72/100+1.24*Q70/100</f>
        <v>4.8317195761839997</v>
      </c>
      <c r="N86" s="122" t="s">
        <v>143</v>
      </c>
      <c r="Q86" s="30"/>
    </row>
    <row r="87" spans="1:17" ht="15.75" x14ac:dyDescent="0.3">
      <c r="A87" s="107">
        <v>1.78240740740741E-2</v>
      </c>
      <c r="B87" s="109">
        <v>11.347041000000001</v>
      </c>
      <c r="C87" s="109">
        <v>9.1084995000000006</v>
      </c>
      <c r="D87" s="109">
        <v>818.42565999999999</v>
      </c>
      <c r="E87" s="109">
        <v>55.305916000000003</v>
      </c>
      <c r="F87" s="109">
        <v>6.6658505999999997</v>
      </c>
      <c r="G87" s="110">
        <v>211.12952999999999</v>
      </c>
      <c r="H87" s="110">
        <v>26.010475</v>
      </c>
      <c r="I87" s="23"/>
      <c r="J87" s="87" t="s">
        <v>145</v>
      </c>
      <c r="K87" s="11">
        <f>1.87*O71/(8.86*O71+21*O72-2.6*O73)*100</f>
        <v>20.191757298225536</v>
      </c>
      <c r="L87" s="11">
        <f>1.87*P71/(8.86*P71+21*P72-2.6*P73)*100</f>
        <v>20.796223908624857</v>
      </c>
      <c r="M87" s="11">
        <f>1.87*Q71/(8.86*Q71+21*Q72-2.6*Q73)*100</f>
        <v>20.526963082176714</v>
      </c>
      <c r="N87" s="122" t="s">
        <v>147</v>
      </c>
      <c r="Q87" s="30"/>
    </row>
    <row r="88" spans="1:17" ht="15.75" x14ac:dyDescent="0.3">
      <c r="A88" s="107">
        <v>1.8055555555555599E-2</v>
      </c>
      <c r="B88" s="109">
        <v>11.560419</v>
      </c>
      <c r="C88" s="109">
        <v>8.9269914999999997</v>
      </c>
      <c r="D88" s="109">
        <v>675.56841999999995</v>
      </c>
      <c r="E88" s="109">
        <v>56.235095999999999</v>
      </c>
      <c r="F88" s="109">
        <v>5.2176752000000004</v>
      </c>
      <c r="G88" s="110">
        <v>210.62</v>
      </c>
      <c r="H88" s="110">
        <v>26.037998000000002</v>
      </c>
      <c r="I88" s="23"/>
      <c r="J88" s="87" t="s">
        <v>134</v>
      </c>
      <c r="K88" s="118">
        <f>(34.8*O71/100+93.9*O72/100+10.5*O75/100+6.3*O74/100-10.8*O73/100-2.5*O70/100)*1000</f>
        <v>16059.433199999998</v>
      </c>
      <c r="L88" s="118">
        <f>(34.8*P71/100+93.9*P72/100+10.5*P75/100+6.3*P74/100-10.8*P73/100-2.5*P70/100)*1000</f>
        <v>15799.920000000004</v>
      </c>
      <c r="M88" s="177">
        <v>17100</v>
      </c>
      <c r="N88" s="122" t="s">
        <v>42</v>
      </c>
      <c r="Q88" s="30"/>
    </row>
    <row r="89" spans="1:17" ht="15.75" x14ac:dyDescent="0.3">
      <c r="A89" s="107">
        <v>1.8287037037037001E-2</v>
      </c>
      <c r="B89" s="109">
        <v>11.593906</v>
      </c>
      <c r="C89" s="109">
        <v>8.8360491000000003</v>
      </c>
      <c r="D89" s="109">
        <v>606.72229000000004</v>
      </c>
      <c r="E89" s="109">
        <v>55.222355</v>
      </c>
      <c r="F89" s="109">
        <v>5.2640723999999999</v>
      </c>
      <c r="G89" s="110">
        <v>209.81100000000001</v>
      </c>
      <c r="H89" s="110">
        <v>26.062504000000001</v>
      </c>
      <c r="I89" s="23"/>
      <c r="J89" s="137" t="s">
        <v>83</v>
      </c>
      <c r="K89" s="136">
        <f>K87</f>
        <v>20.191757298225536</v>
      </c>
      <c r="L89" s="136">
        <f>L87</f>
        <v>20.796223908624857</v>
      </c>
      <c r="M89" s="136">
        <f>M87</f>
        <v>20.526963082176714</v>
      </c>
      <c r="N89" s="138" t="s">
        <v>147</v>
      </c>
      <c r="Q89" s="30"/>
    </row>
    <row r="90" spans="1:17" ht="15.75" x14ac:dyDescent="0.3">
      <c r="A90" s="107">
        <v>1.85185185185185E-2</v>
      </c>
      <c r="B90" s="109">
        <v>11.911497000000001</v>
      </c>
      <c r="C90" s="109">
        <v>8.6316079999999999</v>
      </c>
      <c r="D90" s="109">
        <v>527.82843000000003</v>
      </c>
      <c r="E90" s="109">
        <v>54.188842999999999</v>
      </c>
      <c r="F90" s="109">
        <v>4.1301002999999996</v>
      </c>
      <c r="G90" s="110">
        <v>209.26858999999999</v>
      </c>
      <c r="H90" s="110">
        <v>26.038574000000001</v>
      </c>
      <c r="I90" s="23"/>
      <c r="J90" s="87" t="s">
        <v>146</v>
      </c>
      <c r="K90" s="118">
        <f>(K88*100+2.44*O70)/(100-O70)</f>
        <v>18249.688636363633</v>
      </c>
      <c r="L90" s="118">
        <f>(L88*100+2440*P70)/(100-P70)</f>
        <v>18287.181818181823</v>
      </c>
      <c r="M90" s="118">
        <f>(M88*100+2440*Q70)/(100-Q70)</f>
        <v>18503.193997856379</v>
      </c>
      <c r="N90" s="122" t="s">
        <v>42</v>
      </c>
      <c r="Q90" s="30"/>
    </row>
    <row r="91" spans="1:17" x14ac:dyDescent="0.2">
      <c r="A91" s="107">
        <v>1.8749999999999999E-2</v>
      </c>
      <c r="B91" s="109">
        <v>12.249551</v>
      </c>
      <c r="C91" s="109">
        <v>8.2158622999999995</v>
      </c>
      <c r="D91" s="109">
        <v>359.12759</v>
      </c>
      <c r="E91" s="109">
        <v>53.910285999999999</v>
      </c>
      <c r="F91" s="109">
        <v>3.4907249999999999</v>
      </c>
      <c r="G91" s="110">
        <v>208.99495999999999</v>
      </c>
      <c r="H91" s="110">
        <v>26.092499</v>
      </c>
      <c r="I91" s="23"/>
      <c r="J91" s="79" t="s">
        <v>135</v>
      </c>
      <c r="K91" s="118">
        <f>K87/K89</f>
        <v>1</v>
      </c>
      <c r="L91" s="118">
        <f>L87/L89</f>
        <v>1</v>
      </c>
      <c r="M91" s="118">
        <f>M87/M89</f>
        <v>1</v>
      </c>
      <c r="N91" s="122" t="s">
        <v>96</v>
      </c>
      <c r="Q91" s="30"/>
    </row>
    <row r="92" spans="1:17" ht="15.75" x14ac:dyDescent="0.3">
      <c r="A92" s="107">
        <v>1.8981481481481498E-2</v>
      </c>
      <c r="B92" s="109">
        <v>12.273585000000001</v>
      </c>
      <c r="C92" s="109">
        <v>8.2314042999999995</v>
      </c>
      <c r="D92" s="109">
        <v>370.58868000000001</v>
      </c>
      <c r="E92" s="109">
        <v>53.942329000000001</v>
      </c>
      <c r="F92" s="109">
        <v>3.5900713999999998</v>
      </c>
      <c r="G92" s="110">
        <v>209.0145</v>
      </c>
      <c r="H92" s="110">
        <v>26.129999000000002</v>
      </c>
      <c r="I92" s="23"/>
      <c r="J92" s="87" t="s">
        <v>83</v>
      </c>
      <c r="K92" s="11">
        <f>1.85*O71/100</f>
        <v>0.81074400000000002</v>
      </c>
      <c r="L92" s="11">
        <f>1.85*P71/100</f>
        <v>0.82454500000000019</v>
      </c>
      <c r="M92" s="11">
        <f>1.85*Q71/100</f>
        <v>0.83868769500000018</v>
      </c>
      <c r="N92" s="122" t="s">
        <v>143</v>
      </c>
      <c r="Q92" s="30"/>
    </row>
    <row r="93" spans="1:17" ht="15.75" x14ac:dyDescent="0.3">
      <c r="A93" s="107">
        <v>1.9212962962963001E-2</v>
      </c>
      <c r="B93" s="109">
        <v>12.311033</v>
      </c>
      <c r="C93" s="109">
        <v>8.1743746000000002</v>
      </c>
      <c r="D93" s="109">
        <v>358.43581999999998</v>
      </c>
      <c r="E93" s="109">
        <v>54.092109999999998</v>
      </c>
      <c r="F93" s="109">
        <v>3.5376751</v>
      </c>
      <c r="G93" s="110">
        <v>209.02099999999999</v>
      </c>
      <c r="H93" s="110">
        <v>26.092499</v>
      </c>
      <c r="I93" s="23"/>
      <c r="J93" s="87" t="s">
        <v>139</v>
      </c>
      <c r="K93" s="11">
        <f>0.68*O75/100</f>
        <v>8.9760000000000008E-5</v>
      </c>
      <c r="L93" s="11">
        <f>0.68*P75/100</f>
        <v>6.8000000000000027E-5</v>
      </c>
      <c r="M93" s="11">
        <f>0.68*Q75/100</f>
        <v>3.8066399999999999E-5</v>
      </c>
      <c r="N93" s="122" t="s">
        <v>143</v>
      </c>
      <c r="Q93" s="30"/>
    </row>
    <row r="94" spans="1:17" ht="15.75" x14ac:dyDescent="0.3">
      <c r="A94" s="107">
        <v>1.94444444444444E-2</v>
      </c>
      <c r="B94" s="109">
        <v>12.342568999999999</v>
      </c>
      <c r="C94" s="109">
        <v>8.1267414000000002</v>
      </c>
      <c r="D94" s="109">
        <v>350.38799999999998</v>
      </c>
      <c r="E94" s="109">
        <v>52.994883999999999</v>
      </c>
      <c r="F94" s="109">
        <v>3.6179996000000001</v>
      </c>
      <c r="G94" s="110">
        <v>209.10095000000001</v>
      </c>
      <c r="H94" s="110">
        <v>26.155235000000001</v>
      </c>
      <c r="I94" s="23"/>
      <c r="J94" s="87" t="s">
        <v>140</v>
      </c>
      <c r="K94" s="11">
        <f>0.8*O74/100+K91*0.79*K83</f>
        <v>3.2335242896</v>
      </c>
      <c r="L94" s="11">
        <f>0.8*P74/100+L91*0.79*L83</f>
        <v>3.1700456800000012</v>
      </c>
      <c r="M94" s="11">
        <f>0.8*Q74/100+M91*0.79*M83</f>
        <v>3.2754710157839999</v>
      </c>
      <c r="N94" s="122" t="s">
        <v>143</v>
      </c>
      <c r="Q94" s="30"/>
    </row>
    <row r="95" spans="1:17" ht="16.5" thickBot="1" x14ac:dyDescent="0.35">
      <c r="A95" s="107">
        <v>1.9675925925925899E-2</v>
      </c>
      <c r="B95" s="109">
        <v>12.424110000000001</v>
      </c>
      <c r="C95" s="109">
        <v>8.0692692000000008</v>
      </c>
      <c r="D95" s="109">
        <v>336.15942000000001</v>
      </c>
      <c r="E95" s="109">
        <v>50.610298</v>
      </c>
      <c r="F95" s="109">
        <v>3.4088577999999998</v>
      </c>
      <c r="G95" s="110">
        <v>208.3175</v>
      </c>
      <c r="H95" s="110">
        <v>26.174997000000001</v>
      </c>
      <c r="I95" s="23"/>
      <c r="J95" s="89" t="s">
        <v>82</v>
      </c>
      <c r="K95" s="123">
        <f>(K91-1)*0.21*K83</f>
        <v>0</v>
      </c>
      <c r="L95" s="123">
        <f>(L91-1)*0.21*L83</f>
        <v>0</v>
      </c>
      <c r="M95" s="123">
        <f>(M91-1)*0.21*M83</f>
        <v>0</v>
      </c>
      <c r="N95" s="135" t="s">
        <v>143</v>
      </c>
      <c r="Q95" s="30"/>
    </row>
    <row r="96" spans="1:17" ht="13.5" thickBot="1" x14ac:dyDescent="0.25">
      <c r="A96" s="107">
        <v>1.9907407407407401E-2</v>
      </c>
      <c r="B96" s="109">
        <v>12.638218999999999</v>
      </c>
      <c r="C96" s="109">
        <v>7.8732324</v>
      </c>
      <c r="D96" s="109">
        <v>308.71179000000001</v>
      </c>
      <c r="E96" s="109">
        <v>51.552619999999997</v>
      </c>
      <c r="F96" s="109">
        <v>3.5307007000000001</v>
      </c>
      <c r="G96" s="110">
        <v>207.91301000000001</v>
      </c>
      <c r="H96" s="110">
        <v>26.172497</v>
      </c>
      <c r="I96" s="23"/>
      <c r="J96" s="82"/>
      <c r="K96" s="10"/>
      <c r="L96" s="10"/>
      <c r="M96" s="10"/>
      <c r="N96" s="10"/>
      <c r="O96" s="10"/>
      <c r="P96" s="10"/>
      <c r="Q96" s="30"/>
    </row>
    <row r="97" spans="1:17" x14ac:dyDescent="0.2">
      <c r="A97" s="107">
        <v>2.0138888888888901E-2</v>
      </c>
      <c r="B97" s="109">
        <v>12.663754000000001</v>
      </c>
      <c r="C97" s="109">
        <v>7.8057746999999997</v>
      </c>
      <c r="D97" s="109">
        <v>290.07623000000001</v>
      </c>
      <c r="E97" s="109">
        <v>51.085814999999997</v>
      </c>
      <c r="F97" s="109">
        <v>3.2373753000000001</v>
      </c>
      <c r="G97" s="110">
        <v>207.55001999999999</v>
      </c>
      <c r="H97" s="110">
        <v>26.235711999999999</v>
      </c>
      <c r="I97" s="23"/>
      <c r="J97" s="201" t="s">
        <v>157</v>
      </c>
      <c r="K97" s="202"/>
      <c r="L97" s="203"/>
      <c r="N97" s="201" t="s">
        <v>158</v>
      </c>
      <c r="O97" s="202"/>
      <c r="P97" s="203"/>
      <c r="Q97" s="30"/>
    </row>
    <row r="98" spans="1:17" x14ac:dyDescent="0.2">
      <c r="A98" s="107">
        <v>2.03703703703704E-2</v>
      </c>
      <c r="B98" s="109">
        <v>12.678440999999999</v>
      </c>
      <c r="C98" s="109">
        <v>7.8006539000000004</v>
      </c>
      <c r="D98" s="109">
        <v>270.10924999999997</v>
      </c>
      <c r="E98" s="109">
        <v>52.318665000000003</v>
      </c>
      <c r="F98" s="109">
        <v>3.0632253</v>
      </c>
      <c r="G98" s="110">
        <v>207.53299999999999</v>
      </c>
      <c r="H98" s="110">
        <v>26.197001</v>
      </c>
      <c r="I98" s="23"/>
      <c r="J98" s="121"/>
      <c r="K98" s="119" t="s">
        <v>123</v>
      </c>
      <c r="L98" s="132" t="s">
        <v>130</v>
      </c>
      <c r="N98" s="121"/>
      <c r="O98" s="119" t="s">
        <v>123</v>
      </c>
      <c r="P98" s="132" t="s">
        <v>130</v>
      </c>
      <c r="Q98" s="30"/>
    </row>
    <row r="99" spans="1:17" ht="15.75" x14ac:dyDescent="0.3">
      <c r="A99" s="107">
        <v>2.0601851851851899E-2</v>
      </c>
      <c r="B99" s="109">
        <v>12.769691</v>
      </c>
      <c r="C99" s="109">
        <v>7.6821513000000001</v>
      </c>
      <c r="D99" s="109">
        <v>258.52346999999997</v>
      </c>
      <c r="E99" s="109">
        <v>52.027554000000002</v>
      </c>
      <c r="F99" s="109">
        <v>3.2989286999999998</v>
      </c>
      <c r="G99" s="110">
        <v>207.72855000000001</v>
      </c>
      <c r="H99" s="110">
        <v>26.196503</v>
      </c>
      <c r="I99" s="23"/>
      <c r="J99" s="129" t="s">
        <v>148</v>
      </c>
      <c r="K99" s="11">
        <f>K92/K84*100</f>
        <v>20.046296348073962</v>
      </c>
      <c r="L99" s="97">
        <f>L92/L84*100</f>
        <v>20.649044926233316</v>
      </c>
      <c r="N99" s="142" t="s">
        <v>152</v>
      </c>
      <c r="O99" s="11">
        <f>K92/K86*100</f>
        <v>16.858551465887825</v>
      </c>
      <c r="P99" s="78">
        <f>L92/L86*100</f>
        <v>17.561383343867316</v>
      </c>
      <c r="Q99" s="30"/>
    </row>
    <row r="100" spans="1:17" ht="15.75" x14ac:dyDescent="0.3">
      <c r="A100" s="107">
        <v>2.0833333333333301E-2</v>
      </c>
      <c r="B100" s="109">
        <v>12.841435000000001</v>
      </c>
      <c r="C100" s="109">
        <v>7.6667775999999996</v>
      </c>
      <c r="D100" s="109">
        <v>237.71530000000001</v>
      </c>
      <c r="E100" s="109">
        <v>52.292712999999999</v>
      </c>
      <c r="F100" s="109">
        <v>2.6977503</v>
      </c>
      <c r="G100" s="110">
        <v>207.81801999999999</v>
      </c>
      <c r="H100" s="110">
        <v>26.253</v>
      </c>
      <c r="I100" s="23"/>
      <c r="J100" s="129" t="s">
        <v>96</v>
      </c>
      <c r="K100" s="11"/>
      <c r="L100" s="97"/>
      <c r="N100" s="129" t="s">
        <v>153</v>
      </c>
      <c r="O100" s="11">
        <f>K85/K86*100</f>
        <v>15.901914382765348</v>
      </c>
      <c r="P100" s="78">
        <f>L85/L86*100</f>
        <v>14.953047917694823</v>
      </c>
      <c r="Q100" s="30"/>
    </row>
    <row r="101" spans="1:17" ht="15.75" x14ac:dyDescent="0.3">
      <c r="A101" s="107">
        <v>2.10648148148148E-2</v>
      </c>
      <c r="B101" s="109">
        <v>12.876846</v>
      </c>
      <c r="C101" s="109">
        <v>7.5806073999999999</v>
      </c>
      <c r="D101" s="109">
        <v>223.72842</v>
      </c>
      <c r="E101" s="109">
        <v>51.939658999999999</v>
      </c>
      <c r="F101" s="109">
        <v>2.7585001</v>
      </c>
      <c r="G101" s="110">
        <v>206.87047000000001</v>
      </c>
      <c r="H101" s="110">
        <v>26.24</v>
      </c>
      <c r="I101" s="23"/>
      <c r="J101" s="129" t="s">
        <v>149</v>
      </c>
      <c r="K101" s="11">
        <f>K93/K84*100</f>
        <v>2.2193880684940239E-3</v>
      </c>
      <c r="L101" s="97">
        <f>L93/L84*100</f>
        <v>1.7029210716017506E-3</v>
      </c>
      <c r="N101" s="129" t="s">
        <v>154</v>
      </c>
      <c r="O101" s="11">
        <f>K93/K86*100</f>
        <v>1.8664628780207947E-3</v>
      </c>
      <c r="P101" s="78">
        <f>L93/L86*100</f>
        <v>1.4482824677646189E-3</v>
      </c>
      <c r="Q101" s="30"/>
    </row>
    <row r="102" spans="1:17" ht="15.75" x14ac:dyDescent="0.3">
      <c r="A102" s="107">
        <v>2.1296296296296299E-2</v>
      </c>
      <c r="B102" s="109">
        <v>13.021418000000001</v>
      </c>
      <c r="C102" s="109">
        <v>7.4592666999999997</v>
      </c>
      <c r="D102" s="109">
        <v>222.64449999999999</v>
      </c>
      <c r="E102" s="109">
        <v>51.138221999999999</v>
      </c>
      <c r="F102" s="109">
        <v>2.5887752000000002</v>
      </c>
      <c r="G102" s="110">
        <v>206.03198</v>
      </c>
      <c r="H102" s="110">
        <v>26.298999999999999</v>
      </c>
      <c r="I102" s="23"/>
      <c r="J102" s="129" t="s">
        <v>150</v>
      </c>
      <c r="K102" s="11">
        <f>K94/K84*100</f>
        <v>79.951484263857552</v>
      </c>
      <c r="L102" s="97">
        <f>L94/L84*100</f>
        <v>79.387317447236768</v>
      </c>
      <c r="N102" s="129" t="s">
        <v>155</v>
      </c>
      <c r="O102" s="11">
        <f>K94/K86*100</f>
        <v>67.237667688468832</v>
      </c>
      <c r="P102" s="78">
        <f>L94/L86*100</f>
        <v>67.516493828778962</v>
      </c>
      <c r="Q102" s="30"/>
    </row>
    <row r="103" spans="1:17" ht="15.75" x14ac:dyDescent="0.3">
      <c r="A103" s="107">
        <v>2.1527777777777798E-2</v>
      </c>
      <c r="B103" s="109">
        <v>12.924408</v>
      </c>
      <c r="C103" s="109">
        <v>7.5271783000000001</v>
      </c>
      <c r="D103" s="109">
        <v>229.94535999999999</v>
      </c>
      <c r="E103" s="109">
        <v>51.146782000000002</v>
      </c>
      <c r="F103" s="109">
        <v>2.6749290999999999</v>
      </c>
      <c r="G103" s="110">
        <v>205.49503000000001</v>
      </c>
      <c r="H103" s="110">
        <v>26.366501</v>
      </c>
      <c r="I103" s="23"/>
      <c r="J103" s="129" t="s">
        <v>151</v>
      </c>
      <c r="K103" s="11">
        <f>K95/K84*100</f>
        <v>0</v>
      </c>
      <c r="L103" s="97">
        <f>L95/L84*100</f>
        <v>0</v>
      </c>
      <c r="N103" s="143" t="s">
        <v>156</v>
      </c>
      <c r="O103" s="11">
        <f>K95/K86*100</f>
        <v>0</v>
      </c>
      <c r="P103" s="78">
        <f>L95/L86*100</f>
        <v>0</v>
      </c>
      <c r="Q103" s="30"/>
    </row>
    <row r="104" spans="1:17" ht="13.5" thickBot="1" x14ac:dyDescent="0.25">
      <c r="A104" s="107">
        <v>2.1759259259259301E-2</v>
      </c>
      <c r="B104" s="109">
        <v>12.859411</v>
      </c>
      <c r="C104" s="109">
        <v>7.5610518000000004</v>
      </c>
      <c r="D104" s="109">
        <v>228.91226</v>
      </c>
      <c r="E104" s="109">
        <v>51.171264999999998</v>
      </c>
      <c r="F104" s="109">
        <v>2.5393500000000002</v>
      </c>
      <c r="G104" s="110">
        <v>205.05001999999999</v>
      </c>
      <c r="H104" s="110">
        <v>26.371428000000002</v>
      </c>
      <c r="I104" s="23"/>
      <c r="J104" s="130" t="s">
        <v>129</v>
      </c>
      <c r="K104" s="139">
        <f>SUM(K99:K103)</f>
        <v>100</v>
      </c>
      <c r="L104" s="140">
        <f t="shared" ref="L104" si="7">SUM(L99:L103)</f>
        <v>100.03806529454168</v>
      </c>
      <c r="M104" s="46"/>
      <c r="N104" s="130" t="s">
        <v>129</v>
      </c>
      <c r="O104" s="139">
        <f>SUM(O99:O103)</f>
        <v>100.00000000000003</v>
      </c>
      <c r="P104" s="140">
        <f>SUM(P99:P103)</f>
        <v>100.03237337280886</v>
      </c>
      <c r="Q104" s="47"/>
    </row>
    <row r="105" spans="1:17" x14ac:dyDescent="0.2">
      <c r="A105" s="107">
        <v>2.19907407407407E-2</v>
      </c>
      <c r="B105" s="109">
        <v>12.950836000000001</v>
      </c>
      <c r="C105" s="109">
        <v>7.5255747</v>
      </c>
      <c r="D105" s="109">
        <v>235.47054</v>
      </c>
      <c r="E105" s="109">
        <v>49.414482</v>
      </c>
      <c r="F105" s="109">
        <v>2.3343748999999998</v>
      </c>
      <c r="G105" s="110">
        <v>204.87253000000001</v>
      </c>
      <c r="H105" s="110">
        <v>26.414997</v>
      </c>
      <c r="I105" s="23"/>
    </row>
    <row r="106" spans="1:17" x14ac:dyDescent="0.2">
      <c r="A106" s="107">
        <v>2.2222222222222199E-2</v>
      </c>
      <c r="B106" s="109">
        <v>13.026820000000001</v>
      </c>
      <c r="C106" s="109">
        <v>7.4312201</v>
      </c>
      <c r="D106" s="109">
        <v>226.60991000000001</v>
      </c>
      <c r="E106" s="109">
        <v>50.208919999999999</v>
      </c>
      <c r="F106" s="109">
        <v>2.1708571999999999</v>
      </c>
      <c r="G106" s="110">
        <v>205.01546999999999</v>
      </c>
      <c r="H106" s="110">
        <v>26.449498999999999</v>
      </c>
      <c r="I106" s="23"/>
    </row>
    <row r="107" spans="1:17" x14ac:dyDescent="0.2">
      <c r="A107" s="107">
        <v>2.2453703703703701E-2</v>
      </c>
      <c r="B107" s="109">
        <v>13.286714999999999</v>
      </c>
      <c r="C107" s="109">
        <v>7.2434082000000002</v>
      </c>
      <c r="D107" s="109">
        <v>203.31422000000001</v>
      </c>
      <c r="E107" s="109">
        <v>50.501373000000001</v>
      </c>
      <c r="F107" s="109">
        <v>1.9118249</v>
      </c>
      <c r="G107" s="110">
        <v>205.37398999999999</v>
      </c>
      <c r="H107" s="110">
        <v>26.457498999999999</v>
      </c>
      <c r="I107" s="23"/>
    </row>
    <row r="108" spans="1:17" x14ac:dyDescent="0.2">
      <c r="A108" s="107">
        <v>2.2685185185185201E-2</v>
      </c>
      <c r="B108" s="109">
        <v>13.300530999999999</v>
      </c>
      <c r="C108" s="109">
        <v>7.1300749999999997</v>
      </c>
      <c r="D108" s="109">
        <v>200.95891</v>
      </c>
      <c r="E108" s="109">
        <v>49.297545999999997</v>
      </c>
      <c r="F108" s="109">
        <v>2.1738753000000002</v>
      </c>
      <c r="G108" s="110">
        <v>205.20192</v>
      </c>
      <c r="H108" s="110">
        <v>26.469045999999999</v>
      </c>
      <c r="I108" s="23"/>
    </row>
    <row r="109" spans="1:17" x14ac:dyDescent="0.2">
      <c r="A109" s="107">
        <v>2.29166666666667E-2</v>
      </c>
      <c r="B109" s="109">
        <v>13.171448</v>
      </c>
      <c r="C109" s="109">
        <v>7.2310752999999997</v>
      </c>
      <c r="D109" s="109">
        <v>205.54868999999999</v>
      </c>
      <c r="E109" s="109">
        <v>49.061455000000002</v>
      </c>
      <c r="F109" s="109">
        <v>1.9989284</v>
      </c>
      <c r="G109" s="110">
        <v>204.78700000000001</v>
      </c>
      <c r="H109" s="110">
        <v>26.448999000000001</v>
      </c>
      <c r="I109" s="23"/>
    </row>
    <row r="110" spans="1:17" x14ac:dyDescent="0.2">
      <c r="A110" s="107">
        <v>2.3148148148148098E-2</v>
      </c>
      <c r="B110" s="109">
        <v>13.155018999999999</v>
      </c>
      <c r="C110" s="109">
        <v>7.3171476999999996</v>
      </c>
      <c r="D110" s="109">
        <v>217.21463</v>
      </c>
      <c r="E110" s="109">
        <v>49.211047999999998</v>
      </c>
      <c r="F110" s="109">
        <v>1.8943502999999999</v>
      </c>
      <c r="G110" s="110">
        <v>204.48098999999999</v>
      </c>
      <c r="H110" s="110">
        <v>26.423999999999999</v>
      </c>
      <c r="I110" s="23"/>
    </row>
    <row r="111" spans="1:17" x14ac:dyDescent="0.2">
      <c r="A111" s="107">
        <v>2.3379629629629601E-2</v>
      </c>
      <c r="B111" s="109">
        <v>13.296208999999999</v>
      </c>
      <c r="C111" s="109">
        <v>7.1503509999999997</v>
      </c>
      <c r="D111" s="109">
        <v>210.80636999999999</v>
      </c>
      <c r="E111" s="109">
        <v>48.714889999999997</v>
      </c>
      <c r="F111" s="109">
        <v>1.9095001</v>
      </c>
      <c r="G111" s="110">
        <v>204.02950999999999</v>
      </c>
      <c r="H111" s="110">
        <v>26.440474999999999</v>
      </c>
      <c r="I111" s="23"/>
    </row>
    <row r="112" spans="1:17" x14ac:dyDescent="0.2">
      <c r="A112" s="107">
        <v>2.36111111111111E-2</v>
      </c>
      <c r="B112" s="109">
        <v>13.376749</v>
      </c>
      <c r="C112" s="109">
        <v>7.0929479999999998</v>
      </c>
      <c r="D112" s="109">
        <v>219.93656999999999</v>
      </c>
      <c r="E112" s="109">
        <v>49.235661</v>
      </c>
      <c r="F112" s="109">
        <v>1.8746248000000001</v>
      </c>
      <c r="G112" s="110">
        <v>203.75951000000001</v>
      </c>
      <c r="H112" s="110">
        <v>26.452496</v>
      </c>
      <c r="I112" s="23"/>
      <c r="J112" s="69"/>
      <c r="K112" s="10"/>
      <c r="L112" s="10"/>
      <c r="M112" s="10"/>
      <c r="N112" s="10"/>
      <c r="O112" s="10"/>
      <c r="P112" s="10"/>
    </row>
    <row r="113" spans="1:16" x14ac:dyDescent="0.2">
      <c r="A113" s="107">
        <v>2.3842592592592599E-2</v>
      </c>
      <c r="B113" s="109">
        <v>13.428017000000001</v>
      </c>
      <c r="C113" s="109">
        <v>7.0166864000000002</v>
      </c>
      <c r="D113" s="109">
        <v>225.51047</v>
      </c>
      <c r="E113" s="109">
        <v>50.336880000000001</v>
      </c>
      <c r="F113" s="109">
        <v>1.7855715000000001</v>
      </c>
      <c r="G113" s="110">
        <v>203.73201</v>
      </c>
      <c r="H113" s="110">
        <v>26.446498999999999</v>
      </c>
      <c r="I113" s="23"/>
      <c r="J113" s="69"/>
      <c r="K113" s="103"/>
      <c r="L113" s="10"/>
      <c r="M113" s="10"/>
      <c r="N113" s="10"/>
      <c r="O113" s="10"/>
      <c r="P113" s="10"/>
    </row>
    <row r="114" spans="1:16" x14ac:dyDescent="0.2">
      <c r="A114" s="107">
        <v>2.4074074074074098E-2</v>
      </c>
      <c r="B114" s="109">
        <v>13.434172</v>
      </c>
      <c r="C114" s="109">
        <v>6.9957732999999998</v>
      </c>
      <c r="D114" s="109">
        <v>244.84537</v>
      </c>
      <c r="E114" s="109">
        <v>48.613410999999999</v>
      </c>
      <c r="F114" s="109">
        <v>1.9571251000000001</v>
      </c>
      <c r="G114" s="110">
        <v>203.65450000000001</v>
      </c>
      <c r="H114" s="110">
        <v>26.505005000000001</v>
      </c>
      <c r="I114" s="23"/>
      <c r="J114" s="69"/>
      <c r="K114" s="10"/>
      <c r="L114" s="10"/>
      <c r="M114" s="10"/>
      <c r="N114" s="10"/>
      <c r="O114" s="65"/>
      <c r="P114" s="65"/>
    </row>
    <row r="115" spans="1:16" x14ac:dyDescent="0.2">
      <c r="A115" s="107">
        <v>2.4305555555555601E-2</v>
      </c>
      <c r="B115" s="109">
        <v>13.455747000000001</v>
      </c>
      <c r="C115" s="109">
        <v>6.9725241999999996</v>
      </c>
      <c r="D115" s="109">
        <v>255.59612000000001</v>
      </c>
      <c r="E115" s="109">
        <v>49.139961</v>
      </c>
      <c r="F115" s="109">
        <v>2.0358002000000002</v>
      </c>
      <c r="G115" s="110">
        <v>203.44666000000001</v>
      </c>
      <c r="H115" s="110">
        <v>26.519047</v>
      </c>
      <c r="I115" s="23"/>
      <c r="J115" s="69"/>
      <c r="K115" s="10"/>
      <c r="L115" s="10"/>
      <c r="M115" s="105"/>
      <c r="N115" s="86"/>
      <c r="O115" s="106"/>
      <c r="P115" s="106"/>
    </row>
    <row r="116" spans="1:16" x14ac:dyDescent="0.2">
      <c r="A116" s="107">
        <v>2.4537037037037E-2</v>
      </c>
      <c r="B116" s="109">
        <v>13.292168</v>
      </c>
      <c r="C116" s="109">
        <v>7.0718617000000004</v>
      </c>
      <c r="D116" s="109">
        <v>259.28325999999998</v>
      </c>
      <c r="E116" s="109">
        <v>49.246693</v>
      </c>
      <c r="F116" s="109">
        <v>2.1506430999999999</v>
      </c>
      <c r="G116" s="110">
        <v>202.77600000000001</v>
      </c>
      <c r="H116" s="110">
        <v>26.530003000000001</v>
      </c>
      <c r="I116" s="23"/>
      <c r="J116" s="69"/>
      <c r="K116" s="10"/>
      <c r="L116" s="10"/>
      <c r="M116" s="10"/>
      <c r="N116" s="10"/>
      <c r="O116" s="10"/>
      <c r="P116" s="10"/>
    </row>
    <row r="117" spans="1:16" x14ac:dyDescent="0.2">
      <c r="A117" s="107">
        <v>2.4768518518518499E-2</v>
      </c>
      <c r="B117" s="109">
        <v>13.376329999999999</v>
      </c>
      <c r="C117" s="109">
        <v>7.0578241000000004</v>
      </c>
      <c r="D117" s="109">
        <v>256.70150999999998</v>
      </c>
      <c r="E117" s="109">
        <v>49.613415000000003</v>
      </c>
      <c r="F117" s="109">
        <v>2.0353498000000001</v>
      </c>
      <c r="G117" s="110">
        <v>202.44649999999999</v>
      </c>
      <c r="H117" s="110">
        <v>26.620498999999999</v>
      </c>
      <c r="I117" s="23"/>
      <c r="J117" s="69"/>
      <c r="K117" s="104"/>
      <c r="L117" s="10"/>
      <c r="M117" s="10"/>
      <c r="N117" s="10"/>
      <c r="O117" s="10"/>
      <c r="P117" s="10"/>
    </row>
    <row r="118" spans="1:16" x14ac:dyDescent="0.2">
      <c r="A118" s="107">
        <v>2.5000000000000001E-2</v>
      </c>
      <c r="B118" s="109">
        <v>13.354010000000001</v>
      </c>
      <c r="C118" s="109">
        <v>7.0356015999999997</v>
      </c>
      <c r="D118" s="109">
        <v>246.70352</v>
      </c>
      <c r="E118" s="109">
        <v>50.03886</v>
      </c>
      <c r="F118" s="109">
        <v>1.7900254</v>
      </c>
      <c r="G118" s="110">
        <v>201.94952000000001</v>
      </c>
      <c r="H118" s="110">
        <v>26.662382000000001</v>
      </c>
      <c r="I118" s="23"/>
      <c r="J118" s="69"/>
      <c r="K118" s="10"/>
      <c r="L118" s="10"/>
      <c r="M118" s="10"/>
      <c r="N118" s="10"/>
      <c r="O118" s="10"/>
      <c r="P118" s="10"/>
    </row>
    <row r="119" spans="1:16" x14ac:dyDescent="0.2">
      <c r="A119" s="107">
        <v>2.5231481481481501E-2</v>
      </c>
      <c r="B119" s="109">
        <v>13.492383</v>
      </c>
      <c r="C119" s="109">
        <v>6.9291204999999998</v>
      </c>
      <c r="D119" s="109">
        <v>244.33315999999999</v>
      </c>
      <c r="E119" s="109">
        <v>48.733688000000001</v>
      </c>
      <c r="F119" s="109">
        <v>1.7847</v>
      </c>
      <c r="G119" s="110">
        <v>201.77199999999999</v>
      </c>
      <c r="H119" s="110">
        <v>26.682001</v>
      </c>
      <c r="I119" s="23"/>
      <c r="J119" s="69"/>
      <c r="K119" s="10"/>
      <c r="L119" s="10"/>
      <c r="M119" s="10"/>
      <c r="N119" s="10"/>
      <c r="O119" s="10"/>
      <c r="P119" s="10"/>
    </row>
    <row r="120" spans="1:16" x14ac:dyDescent="0.2">
      <c r="A120" s="107">
        <v>2.5462962962963E-2</v>
      </c>
      <c r="B120" s="109">
        <v>13.498066</v>
      </c>
      <c r="C120" s="109">
        <v>6.9115434000000002</v>
      </c>
      <c r="D120" s="109">
        <v>246.56121999999999</v>
      </c>
      <c r="E120" s="109">
        <v>48.030223999999997</v>
      </c>
      <c r="F120" s="109">
        <v>1.7860003</v>
      </c>
      <c r="G120" s="110">
        <v>201.95999</v>
      </c>
      <c r="H120" s="110">
        <v>26.801497999999999</v>
      </c>
      <c r="I120" s="23"/>
      <c r="J120" s="69"/>
      <c r="K120" s="10"/>
      <c r="L120" s="10"/>
      <c r="M120" s="10"/>
      <c r="N120" s="10"/>
      <c r="O120" s="10"/>
      <c r="P120" s="10"/>
    </row>
    <row r="121" spans="1:16" x14ac:dyDescent="0.2">
      <c r="A121" s="107">
        <v>2.5694444444444402E-2</v>
      </c>
      <c r="B121" s="109">
        <v>13.49911</v>
      </c>
      <c r="C121" s="109">
        <v>6.8910241000000001</v>
      </c>
      <c r="D121" s="109">
        <v>255.69466</v>
      </c>
      <c r="E121" s="109">
        <v>48.189124999999997</v>
      </c>
      <c r="F121" s="109">
        <v>1.7817749000000001</v>
      </c>
      <c r="G121" s="110">
        <v>201.76850999999999</v>
      </c>
      <c r="H121" s="110">
        <v>26.861999999999998</v>
      </c>
      <c r="I121" s="23"/>
      <c r="M121" s="10"/>
      <c r="N121" s="10"/>
      <c r="O121" s="10"/>
      <c r="P121" s="10"/>
    </row>
    <row r="122" spans="1:16" x14ac:dyDescent="0.2">
      <c r="A122" s="107">
        <v>2.5925925925925901E-2</v>
      </c>
      <c r="B122" s="109">
        <v>13.673185</v>
      </c>
      <c r="C122" s="109">
        <v>6.7543221000000004</v>
      </c>
      <c r="D122" s="109">
        <v>261.24615</v>
      </c>
      <c r="E122" s="109">
        <v>47.856040999999998</v>
      </c>
      <c r="F122" s="109">
        <v>1.781925</v>
      </c>
      <c r="G122" s="110">
        <v>201.45096000000001</v>
      </c>
      <c r="H122" s="110">
        <v>26.886669000000001</v>
      </c>
      <c r="I122" s="23"/>
      <c r="J122" s="69"/>
      <c r="K122" s="69"/>
      <c r="L122" s="69"/>
    </row>
    <row r="123" spans="1:16" x14ac:dyDescent="0.2">
      <c r="A123" s="107">
        <v>2.61574074074074E-2</v>
      </c>
      <c r="B123" s="109">
        <v>13.623995000000001</v>
      </c>
      <c r="C123" s="109">
        <v>6.7444943999999998</v>
      </c>
      <c r="D123" s="109">
        <v>261.85991999999999</v>
      </c>
      <c r="E123" s="109">
        <v>47.302387000000003</v>
      </c>
      <c r="F123" s="109">
        <v>1.7827142</v>
      </c>
      <c r="G123" s="110">
        <v>200.74100999999999</v>
      </c>
      <c r="H123" s="110">
        <v>27.044499999999999</v>
      </c>
      <c r="I123" s="23"/>
      <c r="J123" s="10"/>
      <c r="K123" s="10"/>
      <c r="L123" s="10"/>
      <c r="M123" s="10"/>
      <c r="N123" s="10"/>
      <c r="O123" s="10"/>
      <c r="P123" s="10"/>
    </row>
    <row r="124" spans="1:16" x14ac:dyDescent="0.2">
      <c r="A124" s="107">
        <v>2.6388888888888899E-2</v>
      </c>
      <c r="B124" s="109">
        <v>13.656701999999999</v>
      </c>
      <c r="C124" s="109">
        <v>6.7846351</v>
      </c>
      <c r="D124" s="109">
        <v>264.82934999999998</v>
      </c>
      <c r="E124" s="109">
        <v>48.165604000000002</v>
      </c>
      <c r="F124" s="109">
        <v>1.7839501</v>
      </c>
      <c r="G124" s="110">
        <v>199.9675</v>
      </c>
      <c r="H124" s="110">
        <v>27.086002000000001</v>
      </c>
      <c r="I124" s="23"/>
      <c r="J124" s="69"/>
      <c r="K124" s="10"/>
      <c r="L124" s="10"/>
      <c r="M124" s="10"/>
      <c r="N124" s="10"/>
      <c r="O124" s="10"/>
      <c r="P124" s="10"/>
    </row>
    <row r="125" spans="1:16" x14ac:dyDescent="0.2">
      <c r="A125" s="107">
        <v>2.6620370370370398E-2</v>
      </c>
      <c r="B125" s="109">
        <v>13.69693</v>
      </c>
      <c r="C125" s="109">
        <v>6.7232985000000003</v>
      </c>
      <c r="D125" s="109">
        <v>264.76584000000003</v>
      </c>
      <c r="E125" s="109">
        <v>47.752150999999998</v>
      </c>
      <c r="F125" s="109">
        <v>1.7871748999999999</v>
      </c>
      <c r="G125" s="110">
        <v>199.65568999999999</v>
      </c>
      <c r="H125" s="110">
        <v>27.141907</v>
      </c>
      <c r="I125" s="23"/>
      <c r="J125" s="69"/>
      <c r="K125" s="103"/>
      <c r="L125" s="10"/>
      <c r="M125" s="10"/>
      <c r="N125" s="10"/>
      <c r="O125" s="10"/>
      <c r="P125" s="10"/>
    </row>
    <row r="126" spans="1:16" x14ac:dyDescent="0.2">
      <c r="A126" s="107">
        <v>2.68518518518518E-2</v>
      </c>
      <c r="B126" s="109">
        <v>13.817534999999999</v>
      </c>
      <c r="C126" s="109">
        <v>6.5993814000000004</v>
      </c>
      <c r="D126" s="109">
        <v>265.76019000000002</v>
      </c>
      <c r="E126" s="109">
        <v>47.171852000000001</v>
      </c>
      <c r="F126" s="109">
        <v>1.7852252</v>
      </c>
      <c r="G126" s="110">
        <v>199.52298999999999</v>
      </c>
      <c r="H126" s="110">
        <v>27.296001</v>
      </c>
      <c r="I126" s="23"/>
      <c r="J126" s="69"/>
      <c r="K126" s="10"/>
      <c r="L126" s="10"/>
      <c r="M126" s="10"/>
      <c r="N126" s="10"/>
      <c r="O126" s="65"/>
      <c r="P126" s="65"/>
    </row>
    <row r="127" spans="1:16" x14ac:dyDescent="0.2">
      <c r="A127" s="107">
        <v>2.70833333333333E-2</v>
      </c>
      <c r="B127" s="109">
        <v>13.732291</v>
      </c>
      <c r="C127" s="109">
        <v>6.6636062000000003</v>
      </c>
      <c r="D127" s="109">
        <v>286.86727999999999</v>
      </c>
      <c r="E127" s="109">
        <v>47.881123000000002</v>
      </c>
      <c r="F127" s="109">
        <v>1.7864287000000001</v>
      </c>
      <c r="G127" s="110">
        <v>199.64201</v>
      </c>
      <c r="H127" s="110">
        <v>27.320999</v>
      </c>
      <c r="I127" s="23"/>
      <c r="J127" s="69"/>
      <c r="K127" s="10"/>
      <c r="L127" s="10"/>
      <c r="M127" s="105"/>
      <c r="N127" s="86"/>
      <c r="O127" s="106"/>
      <c r="P127" s="106"/>
    </row>
    <row r="128" spans="1:16" x14ac:dyDescent="0.2">
      <c r="A128" s="107">
        <v>2.7314814814814799E-2</v>
      </c>
      <c r="B128" s="109">
        <v>13.682306000000001</v>
      </c>
      <c r="C128" s="109">
        <v>6.7201934000000003</v>
      </c>
      <c r="D128" s="109">
        <v>331.91104000000001</v>
      </c>
      <c r="E128" s="109">
        <v>48.280524999999997</v>
      </c>
      <c r="F128" s="109">
        <v>2.0093253</v>
      </c>
      <c r="G128" s="110">
        <v>199.08749</v>
      </c>
      <c r="H128" s="110">
        <v>27.342998999999999</v>
      </c>
      <c r="I128" s="23"/>
      <c r="J128" s="69"/>
      <c r="K128" s="10"/>
      <c r="L128" s="10"/>
      <c r="M128" s="10"/>
      <c r="N128" s="10"/>
      <c r="O128" s="10"/>
      <c r="P128" s="10"/>
    </row>
    <row r="129" spans="1:16" x14ac:dyDescent="0.2">
      <c r="A129" s="107">
        <v>2.7546296296296301E-2</v>
      </c>
      <c r="B129" s="109">
        <v>14.07408</v>
      </c>
      <c r="C129" s="109">
        <v>6.3958019999999998</v>
      </c>
      <c r="D129" s="109">
        <v>340.14584000000002</v>
      </c>
      <c r="E129" s="109">
        <v>46.684837000000002</v>
      </c>
      <c r="F129" s="109">
        <v>1.781625</v>
      </c>
      <c r="G129" s="110">
        <v>198.42475999999999</v>
      </c>
      <c r="H129" s="110">
        <v>27.426190999999999</v>
      </c>
      <c r="I129" s="23"/>
      <c r="J129" s="69"/>
      <c r="K129" s="104"/>
      <c r="L129" s="10"/>
      <c r="M129" s="10"/>
      <c r="N129" s="10"/>
      <c r="O129" s="10"/>
      <c r="P129" s="10"/>
    </row>
    <row r="130" spans="1:16" x14ac:dyDescent="0.2">
      <c r="A130" s="107">
        <v>2.7777777777777801E-2</v>
      </c>
      <c r="B130" s="109">
        <v>14.373836000000001</v>
      </c>
      <c r="C130" s="109">
        <v>6.0099629999999999</v>
      </c>
      <c r="D130" s="109">
        <v>310.77237000000002</v>
      </c>
      <c r="E130" s="109">
        <v>43.755451000000001</v>
      </c>
      <c r="F130" s="109">
        <v>1.7787143000000001</v>
      </c>
      <c r="G130" s="110">
        <v>197.92</v>
      </c>
      <c r="H130" s="110">
        <v>27.483499999999999</v>
      </c>
      <c r="I130" s="23"/>
      <c r="J130" s="69"/>
      <c r="K130" s="10"/>
      <c r="L130" s="10"/>
      <c r="M130" s="10"/>
      <c r="N130" s="10"/>
      <c r="O130" s="10"/>
      <c r="P130" s="10"/>
    </row>
    <row r="131" spans="1:16" x14ac:dyDescent="0.2">
      <c r="A131" s="107">
        <v>2.80092592592593E-2</v>
      </c>
      <c r="B131" s="109">
        <v>14.460936</v>
      </c>
      <c r="C131" s="109">
        <v>5.9254189000000004</v>
      </c>
      <c r="D131" s="109">
        <v>330.54748999999998</v>
      </c>
      <c r="E131" s="109">
        <v>43.552501999999997</v>
      </c>
      <c r="F131" s="109">
        <v>1.7775749000000001</v>
      </c>
      <c r="G131" s="110">
        <v>197.57953000000001</v>
      </c>
      <c r="H131" s="110">
        <v>27.504501000000001</v>
      </c>
      <c r="I131" s="23"/>
      <c r="J131" s="69"/>
      <c r="K131" s="10"/>
      <c r="L131" s="10"/>
      <c r="M131" s="10"/>
      <c r="N131" s="10"/>
      <c r="O131" s="10"/>
      <c r="P131" s="10"/>
    </row>
    <row r="132" spans="1:16" x14ac:dyDescent="0.2">
      <c r="A132" s="107">
        <v>2.8240740740740702E-2</v>
      </c>
      <c r="B132" s="109">
        <v>14.595057000000001</v>
      </c>
      <c r="C132" s="109">
        <v>5.7630185999999997</v>
      </c>
      <c r="D132" s="109">
        <v>332.58569</v>
      </c>
      <c r="E132" s="109">
        <v>43.270546000000003</v>
      </c>
      <c r="F132" s="109">
        <v>1.7814000000000001</v>
      </c>
      <c r="G132" s="110">
        <v>196.86474999999999</v>
      </c>
      <c r="H132" s="110">
        <v>27.570001999999999</v>
      </c>
      <c r="I132" s="23"/>
      <c r="J132" s="69"/>
      <c r="K132" s="10"/>
      <c r="L132" s="10"/>
      <c r="M132" s="10"/>
      <c r="N132" s="10"/>
      <c r="O132" s="10"/>
      <c r="P132" s="10"/>
    </row>
    <row r="133" spans="1:16" x14ac:dyDescent="0.2">
      <c r="A133" s="107">
        <v>2.8472222222222201E-2</v>
      </c>
      <c r="B133" s="109">
        <v>14.699852</v>
      </c>
      <c r="C133" s="109">
        <v>5.6647281999999999</v>
      </c>
      <c r="D133" s="109">
        <v>371.60147000000001</v>
      </c>
      <c r="E133" s="109">
        <v>42.247559000000003</v>
      </c>
      <c r="F133" s="109">
        <v>1.7800499999999999</v>
      </c>
      <c r="G133" s="110">
        <v>196.52753000000001</v>
      </c>
      <c r="H133" s="110">
        <v>27.644998999999999</v>
      </c>
      <c r="I133" s="23"/>
      <c r="M133" s="10"/>
      <c r="N133" s="10"/>
      <c r="O133" s="10"/>
      <c r="P133" s="10"/>
    </row>
    <row r="134" spans="1:16" x14ac:dyDescent="0.2">
      <c r="A134" s="107">
        <v>2.87037037037037E-2</v>
      </c>
      <c r="B134" s="109">
        <v>14.773332999999999</v>
      </c>
      <c r="C134" s="109">
        <v>5.5659803999999999</v>
      </c>
      <c r="D134" s="109">
        <v>397.75916000000001</v>
      </c>
      <c r="E134" s="109">
        <v>41.151404999999997</v>
      </c>
      <c r="F134" s="109">
        <v>1.7742144</v>
      </c>
      <c r="G134" s="110">
        <v>196.548</v>
      </c>
      <c r="H134" s="110">
        <v>27.661498999999999</v>
      </c>
      <c r="I134" s="23"/>
      <c r="J134" s="69"/>
      <c r="K134" s="69"/>
      <c r="L134" s="69"/>
    </row>
    <row r="135" spans="1:16" x14ac:dyDescent="0.2">
      <c r="A135" s="107">
        <v>2.8935185185185199E-2</v>
      </c>
      <c r="B135" s="109">
        <v>14.870317999999999</v>
      </c>
      <c r="C135" s="109">
        <v>5.4908184999999996</v>
      </c>
      <c r="D135" s="109">
        <v>418.98259999999999</v>
      </c>
      <c r="E135" s="109">
        <v>40.918877000000002</v>
      </c>
      <c r="F135" s="109">
        <v>1.9212750999999999</v>
      </c>
      <c r="G135" s="110">
        <v>196.3535</v>
      </c>
      <c r="H135" s="110">
        <v>27.701502000000001</v>
      </c>
      <c r="I135" s="23"/>
      <c r="J135" s="10"/>
      <c r="K135" s="10"/>
      <c r="L135" s="10"/>
      <c r="M135" s="10"/>
      <c r="N135" s="10"/>
      <c r="O135" s="10"/>
      <c r="P135" s="10"/>
    </row>
    <row r="136" spans="1:16" x14ac:dyDescent="0.2">
      <c r="A136" s="107">
        <v>2.9166666666666698E-2</v>
      </c>
      <c r="B136" s="109">
        <v>14.944304000000001</v>
      </c>
      <c r="C136" s="109">
        <v>5.3886231999999996</v>
      </c>
      <c r="D136" s="109">
        <v>409.50283999999999</v>
      </c>
      <c r="E136" s="109">
        <v>40.054630000000003</v>
      </c>
      <c r="F136" s="109">
        <v>1.7835751</v>
      </c>
      <c r="G136" s="110">
        <v>195.99808999999999</v>
      </c>
      <c r="H136" s="110">
        <v>27.766666000000001</v>
      </c>
      <c r="I136" s="23"/>
      <c r="J136" s="69"/>
      <c r="K136" s="10"/>
      <c r="L136" s="10"/>
      <c r="M136" s="10"/>
      <c r="N136" s="10"/>
      <c r="O136" s="10"/>
      <c r="P136" s="10"/>
    </row>
    <row r="137" spans="1:16" x14ac:dyDescent="0.2">
      <c r="A137" s="107">
        <v>2.93981481481481E-2</v>
      </c>
      <c r="B137" s="109">
        <v>14.966938000000001</v>
      </c>
      <c r="C137" s="109">
        <v>5.3604484000000001</v>
      </c>
      <c r="D137" s="109">
        <v>434.86133000000001</v>
      </c>
      <c r="E137" s="109">
        <v>39.089260000000003</v>
      </c>
      <c r="F137" s="109">
        <v>2.1599286000000002</v>
      </c>
      <c r="G137" s="110">
        <v>195.39151000000001</v>
      </c>
      <c r="H137" s="110">
        <v>27.810002999999998</v>
      </c>
      <c r="I137" s="23"/>
      <c r="J137" s="69"/>
      <c r="K137" s="103"/>
      <c r="L137" s="10"/>
      <c r="M137" s="10"/>
      <c r="N137" s="10"/>
      <c r="O137" s="10"/>
      <c r="P137" s="10"/>
    </row>
    <row r="138" spans="1:16" x14ac:dyDescent="0.2">
      <c r="A138" s="107">
        <v>2.96296296296296E-2</v>
      </c>
      <c r="B138" s="109">
        <v>15.005411</v>
      </c>
      <c r="C138" s="109">
        <v>5.3196367999999996</v>
      </c>
      <c r="D138" s="109">
        <v>452.69799999999998</v>
      </c>
      <c r="E138" s="109">
        <v>39.160198000000001</v>
      </c>
      <c r="F138" s="109">
        <v>2.2402500999999999</v>
      </c>
      <c r="G138" s="110">
        <v>194.75998999999999</v>
      </c>
      <c r="H138" s="110">
        <v>27.824497000000001</v>
      </c>
      <c r="I138" s="23"/>
      <c r="J138" s="69"/>
      <c r="K138" s="10"/>
      <c r="L138" s="10"/>
      <c r="M138" s="10"/>
      <c r="N138" s="10"/>
      <c r="O138" s="65"/>
      <c r="P138" s="65"/>
    </row>
    <row r="139" spans="1:16" x14ac:dyDescent="0.2">
      <c r="A139" s="107">
        <v>2.9861111111111099E-2</v>
      </c>
      <c r="B139" s="109">
        <v>14.968807999999999</v>
      </c>
      <c r="C139" s="109">
        <v>5.3294940000000004</v>
      </c>
      <c r="D139" s="109">
        <v>437.10455000000002</v>
      </c>
      <c r="E139" s="109">
        <v>40.298222000000003</v>
      </c>
      <c r="F139" s="109">
        <v>2.5545000999999998</v>
      </c>
      <c r="G139" s="110">
        <v>194.55475999999999</v>
      </c>
      <c r="H139" s="110">
        <v>27.927144999999999</v>
      </c>
      <c r="I139" s="23"/>
      <c r="J139" s="69"/>
      <c r="K139" s="10"/>
      <c r="L139" s="10"/>
      <c r="M139" s="105"/>
      <c r="N139" s="86"/>
      <c r="O139" s="106"/>
      <c r="P139" s="106"/>
    </row>
    <row r="140" spans="1:16" x14ac:dyDescent="0.2">
      <c r="A140" s="107">
        <v>3.0092592592592601E-2</v>
      </c>
      <c r="B140" s="109">
        <v>15.05072</v>
      </c>
      <c r="C140" s="109">
        <v>5.2294412000000001</v>
      </c>
      <c r="D140" s="109">
        <v>440.75934000000001</v>
      </c>
      <c r="E140" s="109">
        <v>39.619011</v>
      </c>
      <c r="F140" s="109">
        <v>2.2537498</v>
      </c>
      <c r="G140" s="110">
        <v>194.55052000000001</v>
      </c>
      <c r="H140" s="110">
        <v>27.952002</v>
      </c>
      <c r="I140" s="23"/>
      <c r="J140" s="69"/>
      <c r="K140" s="10"/>
      <c r="L140" s="10"/>
      <c r="M140" s="10"/>
      <c r="N140" s="10"/>
      <c r="O140" s="10"/>
      <c r="P140" s="10"/>
    </row>
    <row r="141" spans="1:16" x14ac:dyDescent="0.2">
      <c r="A141" s="107">
        <v>3.03240740740741E-2</v>
      </c>
      <c r="B141" s="109">
        <v>15.13054</v>
      </c>
      <c r="C141" s="109">
        <v>5.1675272000000003</v>
      </c>
      <c r="D141" s="109">
        <v>451.80300999999997</v>
      </c>
      <c r="E141" s="109">
        <v>38.576690999999997</v>
      </c>
      <c r="F141" s="109">
        <v>2.1684283999999998</v>
      </c>
      <c r="G141" s="110">
        <v>194.48050000000001</v>
      </c>
      <c r="H141" s="110">
        <v>27.962</v>
      </c>
      <c r="I141" s="23"/>
      <c r="J141" s="69"/>
      <c r="K141" s="104"/>
      <c r="L141" s="10"/>
      <c r="M141" s="10"/>
      <c r="N141" s="10"/>
      <c r="O141" s="10"/>
      <c r="P141" s="10"/>
    </row>
    <row r="142" spans="1:16" x14ac:dyDescent="0.2">
      <c r="A142" s="107">
        <v>3.05555555555556E-2</v>
      </c>
      <c r="B142" s="109">
        <v>15.223065</v>
      </c>
      <c r="C142" s="109">
        <v>5.0917982999999998</v>
      </c>
      <c r="D142" s="109">
        <v>488.98932000000002</v>
      </c>
      <c r="E142" s="109">
        <v>36.876987</v>
      </c>
      <c r="F142" s="109">
        <v>2.2664254000000001</v>
      </c>
      <c r="G142" s="110">
        <v>194.22620000000001</v>
      </c>
      <c r="H142" s="110">
        <v>28.010475</v>
      </c>
      <c r="I142" s="23"/>
      <c r="J142" s="69"/>
      <c r="K142" s="10"/>
      <c r="L142" s="10"/>
      <c r="M142" s="10"/>
      <c r="N142" s="10"/>
      <c r="O142" s="10"/>
      <c r="P142" s="10"/>
    </row>
    <row r="143" spans="1:16" x14ac:dyDescent="0.2">
      <c r="A143" s="107">
        <v>3.0787037037037002E-2</v>
      </c>
      <c r="B143" s="109">
        <v>15.311712</v>
      </c>
      <c r="C143" s="109">
        <v>4.9834665999999999</v>
      </c>
      <c r="D143" s="109">
        <v>527.74492999999995</v>
      </c>
      <c r="E143" s="109">
        <v>35.998631000000003</v>
      </c>
      <c r="F143" s="109">
        <v>2.1633</v>
      </c>
      <c r="G143" s="110">
        <v>193.61098999999999</v>
      </c>
      <c r="H143" s="110">
        <v>28.075496999999999</v>
      </c>
      <c r="I143" s="23"/>
      <c r="J143" s="69"/>
      <c r="K143" s="10"/>
      <c r="L143" s="10"/>
      <c r="M143" s="10"/>
      <c r="N143" s="10"/>
      <c r="O143" s="10"/>
      <c r="P143" s="10"/>
    </row>
    <row r="144" spans="1:16" x14ac:dyDescent="0.2">
      <c r="A144" s="107">
        <v>3.1018518518518501E-2</v>
      </c>
      <c r="B144" s="109">
        <v>15.432722999999999</v>
      </c>
      <c r="C144" s="109">
        <v>4.9286627999999997</v>
      </c>
      <c r="D144" s="109">
        <v>559.55755999999997</v>
      </c>
      <c r="E144" s="109">
        <v>35.610489000000001</v>
      </c>
      <c r="F144" s="109">
        <v>2.4742145999999998</v>
      </c>
      <c r="G144" s="110">
        <v>192.94050999999999</v>
      </c>
      <c r="H144" s="110">
        <v>28.067499000000002</v>
      </c>
      <c r="I144" s="23"/>
      <c r="J144" s="69"/>
      <c r="K144" s="10"/>
      <c r="L144" s="10"/>
      <c r="M144" s="10"/>
      <c r="N144" s="10"/>
      <c r="O144" s="10"/>
      <c r="P144" s="10"/>
    </row>
    <row r="145" spans="1:16" x14ac:dyDescent="0.2">
      <c r="A145" s="107">
        <v>3.125E-2</v>
      </c>
      <c r="B145" s="109">
        <v>15.256902999999999</v>
      </c>
      <c r="C145" s="109">
        <v>4.9821672000000001</v>
      </c>
      <c r="D145" s="109">
        <v>611.41687000000002</v>
      </c>
      <c r="E145" s="109">
        <v>35.357975000000003</v>
      </c>
      <c r="F145" s="109">
        <v>2.2054501000000002</v>
      </c>
      <c r="G145" s="110">
        <v>192.50201000000001</v>
      </c>
      <c r="H145" s="110">
        <v>28.064997000000002</v>
      </c>
      <c r="I145" s="23"/>
      <c r="M145" s="10"/>
      <c r="N145" s="10"/>
      <c r="O145" s="10"/>
      <c r="P145" s="10"/>
    </row>
    <row r="146" spans="1:16" x14ac:dyDescent="0.2">
      <c r="A146" s="107">
        <v>3.1481481481481499E-2</v>
      </c>
      <c r="B146" s="109">
        <v>15.419271</v>
      </c>
      <c r="C146" s="109">
        <v>4.8621702000000004</v>
      </c>
      <c r="D146" s="109">
        <v>593.43561</v>
      </c>
      <c r="E146" s="109">
        <v>36.070602000000001</v>
      </c>
      <c r="F146" s="109">
        <v>2.1658501999999999</v>
      </c>
      <c r="G146" s="110">
        <v>191.92097000000001</v>
      </c>
      <c r="H146" s="110">
        <v>28.123335000000001</v>
      </c>
      <c r="I146" s="23"/>
    </row>
    <row r="147" spans="1:16" x14ac:dyDescent="0.2">
      <c r="A147" s="107">
        <v>3.1712962962962998E-2</v>
      </c>
      <c r="B147" s="109">
        <v>15.510624999999999</v>
      </c>
      <c r="C147" s="109">
        <v>4.7856550000000002</v>
      </c>
      <c r="D147" s="109">
        <v>593.76562999999999</v>
      </c>
      <c r="E147" s="109">
        <v>34.844996999999999</v>
      </c>
      <c r="F147" s="109">
        <v>2.7754500000000002</v>
      </c>
      <c r="G147" s="110">
        <v>191.43251000000001</v>
      </c>
      <c r="H147" s="110">
        <v>28.189999</v>
      </c>
      <c r="I147" s="23"/>
    </row>
    <row r="148" spans="1:16" x14ac:dyDescent="0.2">
      <c r="A148" s="107">
        <v>3.19444444444444E-2</v>
      </c>
      <c r="B148" s="109">
        <v>15.563132</v>
      </c>
      <c r="C148" s="109">
        <v>4.6988358000000003</v>
      </c>
      <c r="D148" s="109">
        <v>609.82709</v>
      </c>
      <c r="E148" s="109">
        <v>33.292251999999998</v>
      </c>
      <c r="F148" s="109">
        <v>3.0342859999999998</v>
      </c>
      <c r="G148" s="110">
        <v>191.34851</v>
      </c>
      <c r="H148" s="110">
        <v>28.191497999999999</v>
      </c>
      <c r="I148" s="23"/>
    </row>
    <row r="149" spans="1:16" x14ac:dyDescent="0.2">
      <c r="A149" s="107">
        <v>3.21759259259259E-2</v>
      </c>
      <c r="B149" s="109">
        <v>15.591103</v>
      </c>
      <c r="C149" s="109">
        <v>4.6561804000000002</v>
      </c>
      <c r="D149" s="109">
        <v>600.25951999999995</v>
      </c>
      <c r="E149" s="109">
        <v>32.611336000000001</v>
      </c>
      <c r="F149" s="109">
        <v>3.5892002999999999</v>
      </c>
      <c r="G149" s="110">
        <v>191.06145000000001</v>
      </c>
      <c r="H149" s="110">
        <v>28.164757000000002</v>
      </c>
      <c r="I149" s="23"/>
    </row>
    <row r="150" spans="1:16" x14ac:dyDescent="0.2">
      <c r="A150" s="107">
        <v>3.2407407407407399E-2</v>
      </c>
      <c r="B150" s="109">
        <v>15.650976</v>
      </c>
      <c r="C150" s="109">
        <v>4.6311096999999997</v>
      </c>
      <c r="D150" s="109">
        <v>627.96722</v>
      </c>
      <c r="E150" s="109">
        <v>32.511814000000001</v>
      </c>
      <c r="F150" s="109">
        <v>3.3264751000000001</v>
      </c>
      <c r="G150" s="110">
        <v>190.61850000000001</v>
      </c>
      <c r="H150" s="110">
        <v>28.229498</v>
      </c>
      <c r="I150" s="23"/>
    </row>
    <row r="151" spans="1:16" x14ac:dyDescent="0.2">
      <c r="A151" s="107">
        <v>3.2638888888888898E-2</v>
      </c>
      <c r="B151" s="109">
        <v>15.670529999999999</v>
      </c>
      <c r="C151" s="109">
        <v>4.6192650999999998</v>
      </c>
      <c r="D151" s="109">
        <v>654.44763</v>
      </c>
      <c r="E151" s="109">
        <v>30.828019999999999</v>
      </c>
      <c r="F151" s="109">
        <v>2.9476429999999998</v>
      </c>
      <c r="G151" s="110">
        <v>189.92500000000001</v>
      </c>
      <c r="H151" s="110">
        <v>28.272003000000002</v>
      </c>
      <c r="I151" s="23"/>
    </row>
    <row r="152" spans="1:16" x14ac:dyDescent="0.2">
      <c r="A152" s="107">
        <v>3.2870370370370397E-2</v>
      </c>
      <c r="B152" s="109">
        <v>15.67596</v>
      </c>
      <c r="C152" s="109">
        <v>4.6185327000000003</v>
      </c>
      <c r="D152" s="109">
        <v>662.35883000000001</v>
      </c>
      <c r="E152" s="109">
        <v>30.51</v>
      </c>
      <c r="F152" s="109">
        <v>2.9963255000000002</v>
      </c>
      <c r="G152" s="110">
        <v>189.38947999999999</v>
      </c>
      <c r="H152" s="110">
        <v>28.259501</v>
      </c>
      <c r="I152" s="23"/>
    </row>
    <row r="153" spans="1:16" x14ac:dyDescent="0.2">
      <c r="A153" s="107">
        <v>3.3101851851851799E-2</v>
      </c>
      <c r="B153" s="109">
        <v>15.825538999999999</v>
      </c>
      <c r="C153" s="109">
        <v>4.5203829000000004</v>
      </c>
      <c r="D153" s="109">
        <v>678.08989999999994</v>
      </c>
      <c r="E153" s="109">
        <v>30.467548000000001</v>
      </c>
      <c r="F153" s="109">
        <v>3.3372006000000001</v>
      </c>
      <c r="G153" s="110">
        <v>188.77762000000001</v>
      </c>
      <c r="H153" s="110">
        <v>28.258573999999999</v>
      </c>
      <c r="I153" s="23"/>
    </row>
    <row r="154" spans="1:16" x14ac:dyDescent="0.2">
      <c r="A154" s="107">
        <v>3.3333333333333298E-2</v>
      </c>
      <c r="B154" s="109">
        <v>15.902353</v>
      </c>
      <c r="C154" s="109">
        <v>4.4350939</v>
      </c>
      <c r="D154" s="109">
        <v>607.16045999999994</v>
      </c>
      <c r="E154" s="109">
        <v>27.113814999999999</v>
      </c>
      <c r="F154" s="109">
        <v>3.2247002</v>
      </c>
      <c r="G154" s="110">
        <v>188.21798999999999</v>
      </c>
      <c r="H154" s="110">
        <v>28.284500000000001</v>
      </c>
      <c r="I154" s="23"/>
    </row>
    <row r="155" spans="1:16" x14ac:dyDescent="0.2">
      <c r="A155" s="107">
        <v>3.3564814814814797E-2</v>
      </c>
      <c r="B155" s="109">
        <v>16.10737</v>
      </c>
      <c r="C155" s="109">
        <v>4.2617425999999998</v>
      </c>
      <c r="D155" s="109">
        <v>607.36243000000002</v>
      </c>
      <c r="E155" s="109">
        <v>25.804635999999999</v>
      </c>
      <c r="F155" s="109">
        <v>3.2395713000000002</v>
      </c>
      <c r="G155" s="110">
        <v>187.69750999999999</v>
      </c>
      <c r="H155" s="110">
        <v>28.346496999999999</v>
      </c>
      <c r="I155" s="23"/>
    </row>
    <row r="156" spans="1:16" x14ac:dyDescent="0.2">
      <c r="A156" s="107">
        <v>3.3796296296296303E-2</v>
      </c>
      <c r="B156" s="109">
        <v>16.276319999999998</v>
      </c>
      <c r="C156" s="109">
        <v>4.0637540999999997</v>
      </c>
      <c r="D156" s="109">
        <v>719.02526999999998</v>
      </c>
      <c r="E156" s="109">
        <v>25.462814000000002</v>
      </c>
      <c r="F156" s="109">
        <v>3.8186252000000001</v>
      </c>
      <c r="G156" s="110">
        <v>187.08524</v>
      </c>
      <c r="H156" s="110">
        <v>28.335711</v>
      </c>
      <c r="I156" s="23"/>
    </row>
    <row r="157" spans="1:16" x14ac:dyDescent="0.2">
      <c r="A157" s="107">
        <v>3.4027777777777803E-2</v>
      </c>
      <c r="B157" s="109">
        <v>16.386333</v>
      </c>
      <c r="C157" s="109">
        <v>3.9526336</v>
      </c>
      <c r="D157" s="109">
        <v>766.62152000000003</v>
      </c>
      <c r="E157" s="109">
        <v>26.169001000000002</v>
      </c>
      <c r="F157" s="109">
        <v>4.3626747000000003</v>
      </c>
      <c r="G157" s="110">
        <v>186.31351000000001</v>
      </c>
      <c r="H157" s="110">
        <v>28.314999</v>
      </c>
      <c r="I157" s="23"/>
    </row>
    <row r="158" spans="1:16" x14ac:dyDescent="0.2">
      <c r="A158" s="107">
        <v>3.4259259259259302E-2</v>
      </c>
      <c r="B158" s="109">
        <v>16.495615000000001</v>
      </c>
      <c r="C158" s="109">
        <v>3.867537</v>
      </c>
      <c r="D158" s="109">
        <v>837.55205999999998</v>
      </c>
      <c r="E158" s="109">
        <v>24.727571000000001</v>
      </c>
      <c r="F158" s="109">
        <v>4.6474289999999998</v>
      </c>
      <c r="G158" s="110">
        <v>185.48651000000001</v>
      </c>
      <c r="H158" s="110">
        <v>28.287502</v>
      </c>
      <c r="I158" s="23"/>
    </row>
    <row r="159" spans="1:16" x14ac:dyDescent="0.2">
      <c r="A159" s="107">
        <v>3.4490740740740697E-2</v>
      </c>
      <c r="B159" s="109">
        <v>16.609165000000001</v>
      </c>
      <c r="C159" s="109">
        <v>3.7687271</v>
      </c>
      <c r="D159" s="109">
        <v>938.18688999999995</v>
      </c>
      <c r="E159" s="109">
        <v>21.470478</v>
      </c>
      <c r="F159" s="109">
        <v>4.9353746999999997</v>
      </c>
      <c r="G159" s="110">
        <v>184.57301000000001</v>
      </c>
      <c r="H159" s="110">
        <v>28.318497000000001</v>
      </c>
      <c r="I159" s="23"/>
    </row>
    <row r="160" spans="1:16" x14ac:dyDescent="0.2">
      <c r="A160" s="107">
        <v>3.4722222222222203E-2</v>
      </c>
      <c r="B160" s="109">
        <v>16.648288999999998</v>
      </c>
      <c r="C160" s="109">
        <v>3.7445911999999999</v>
      </c>
      <c r="D160" s="109">
        <v>1007.2557</v>
      </c>
      <c r="E160" s="109">
        <v>21.750886999999999</v>
      </c>
      <c r="F160" s="109">
        <v>5.3985747999999996</v>
      </c>
      <c r="G160" s="110">
        <v>183.77288999999999</v>
      </c>
      <c r="H160" s="110">
        <v>28.382856</v>
      </c>
      <c r="I160" s="23"/>
    </row>
    <row r="161" spans="1:9" x14ac:dyDescent="0.2">
      <c r="A161" s="107">
        <v>3.4953703703703702E-2</v>
      </c>
      <c r="B161" s="109">
        <v>16.721298000000001</v>
      </c>
      <c r="C161" s="109">
        <v>3.6783822000000002</v>
      </c>
      <c r="D161" s="109">
        <v>1073.8818000000001</v>
      </c>
      <c r="E161" s="109">
        <v>20.86619</v>
      </c>
      <c r="F161" s="109">
        <v>5.5759287000000004</v>
      </c>
      <c r="G161" s="110">
        <v>183.25649999999999</v>
      </c>
      <c r="H161" s="110">
        <v>28.376000999999999</v>
      </c>
      <c r="I161" s="23"/>
    </row>
    <row r="162" spans="1:9" x14ac:dyDescent="0.2">
      <c r="A162" s="107">
        <v>3.5185185185185201E-2</v>
      </c>
      <c r="B162" s="109">
        <v>16.748467999999999</v>
      </c>
      <c r="C162" s="109">
        <v>3.6497383000000001</v>
      </c>
      <c r="D162" s="109">
        <v>1145.5338999999999</v>
      </c>
      <c r="E162" s="109">
        <v>20.046375000000001</v>
      </c>
      <c r="F162" s="109">
        <v>6.1500750000000002</v>
      </c>
      <c r="G162" s="110">
        <v>182.80199999999999</v>
      </c>
      <c r="H162" s="110">
        <v>28.343499999999999</v>
      </c>
      <c r="I162" s="23"/>
    </row>
    <row r="163" spans="1:9" x14ac:dyDescent="0.2">
      <c r="A163" s="107">
        <v>3.54166666666667E-2</v>
      </c>
      <c r="B163" s="109">
        <v>16.773396999999999</v>
      </c>
      <c r="C163" s="109">
        <v>3.6232039999999999</v>
      </c>
      <c r="D163" s="109">
        <v>1222.4661000000001</v>
      </c>
      <c r="E163" s="109">
        <v>19.418377</v>
      </c>
      <c r="F163" s="109">
        <v>6.6780762999999999</v>
      </c>
      <c r="G163" s="110">
        <v>182.22475</v>
      </c>
      <c r="H163" s="110">
        <v>28.337143000000001</v>
      </c>
      <c r="I163" s="23"/>
    </row>
    <row r="164" spans="1:9" x14ac:dyDescent="0.2">
      <c r="A164" s="107">
        <v>3.5648148148148102E-2</v>
      </c>
      <c r="B164" s="109">
        <v>16.754432999999999</v>
      </c>
      <c r="C164" s="109">
        <v>3.6215386000000001</v>
      </c>
      <c r="D164" s="109">
        <v>1458.3459</v>
      </c>
      <c r="E164" s="109">
        <v>18.832075</v>
      </c>
      <c r="F164" s="109">
        <v>9.0680999999999994</v>
      </c>
      <c r="G164" s="110">
        <v>181.62752</v>
      </c>
      <c r="H164" s="110">
        <v>28.340496000000002</v>
      </c>
      <c r="I164" s="23"/>
    </row>
    <row r="165" spans="1:9" x14ac:dyDescent="0.2">
      <c r="A165" s="107">
        <v>3.5879629629629602E-2</v>
      </c>
      <c r="B165" s="109">
        <v>16.779083</v>
      </c>
      <c r="C165" s="109">
        <v>3.6234076000000002</v>
      </c>
      <c r="D165" s="109">
        <v>1432.8422</v>
      </c>
      <c r="E165" s="109">
        <v>18.258700999999999</v>
      </c>
      <c r="F165" s="109">
        <v>8.1440009999999994</v>
      </c>
      <c r="G165" s="110">
        <v>180.92402999999999</v>
      </c>
      <c r="H165" s="110">
        <v>28.332998</v>
      </c>
      <c r="I165" s="23"/>
    </row>
    <row r="166" spans="1:9" x14ac:dyDescent="0.2">
      <c r="A166" s="107">
        <v>3.6111111111111101E-2</v>
      </c>
      <c r="B166" s="109">
        <v>16.826854999999998</v>
      </c>
      <c r="C166" s="109">
        <v>3.5879664</v>
      </c>
      <c r="D166" s="109">
        <v>1385.5895</v>
      </c>
      <c r="E166" s="109">
        <v>16.814973999999999</v>
      </c>
      <c r="F166" s="109">
        <v>9.2889748000000001</v>
      </c>
      <c r="G166" s="110">
        <v>180.17350999999999</v>
      </c>
      <c r="H166" s="110">
        <v>28.404501</v>
      </c>
      <c r="I166" s="23"/>
    </row>
    <row r="167" spans="1:9" x14ac:dyDescent="0.2">
      <c r="A167" s="107">
        <v>3.63425925925926E-2</v>
      </c>
      <c r="B167" s="109">
        <v>16.809508999999998</v>
      </c>
      <c r="C167" s="109">
        <v>3.5869700999999998</v>
      </c>
      <c r="D167" s="109">
        <v>1481.6974</v>
      </c>
      <c r="E167" s="109">
        <v>16.253102999999999</v>
      </c>
      <c r="F167" s="109">
        <v>8.7805499999999999</v>
      </c>
      <c r="G167" s="110">
        <v>179.48953</v>
      </c>
      <c r="H167" s="110">
        <v>28.397621000000001</v>
      </c>
      <c r="I167" s="23"/>
    </row>
    <row r="168" spans="1:9" x14ac:dyDescent="0.2">
      <c r="A168" s="107">
        <v>3.6574074074074099E-2</v>
      </c>
      <c r="B168" s="109">
        <v>16.858087999999999</v>
      </c>
      <c r="C168" s="109">
        <v>3.5673792</v>
      </c>
      <c r="D168" s="109">
        <v>1455.9108000000001</v>
      </c>
      <c r="E168" s="109">
        <v>16.961416</v>
      </c>
      <c r="F168" s="109">
        <v>7.5156431000000001</v>
      </c>
      <c r="G168" s="110">
        <v>179.00798</v>
      </c>
      <c r="H168" s="110">
        <v>28.383998999999999</v>
      </c>
      <c r="I168" s="23"/>
    </row>
    <row r="169" spans="1:9" x14ac:dyDescent="0.2">
      <c r="A169" s="107">
        <v>3.6805555555555501E-2</v>
      </c>
      <c r="B169" s="109">
        <v>16.873987</v>
      </c>
      <c r="C169" s="109">
        <v>3.543396</v>
      </c>
      <c r="D169" s="109">
        <v>1418.0992000000001</v>
      </c>
      <c r="E169" s="109">
        <v>17.274515000000001</v>
      </c>
      <c r="F169" s="109">
        <v>7.4161501000000003</v>
      </c>
      <c r="G169" s="110">
        <v>178.65200999999999</v>
      </c>
      <c r="H169" s="110">
        <v>28.385000000000002</v>
      </c>
      <c r="I169" s="23"/>
    </row>
    <row r="170" spans="1:9" x14ac:dyDescent="0.2">
      <c r="A170" s="107">
        <v>3.7037037037037E-2</v>
      </c>
      <c r="B170" s="109">
        <v>16.859418999999999</v>
      </c>
      <c r="C170" s="109">
        <v>3.5281532000000002</v>
      </c>
      <c r="D170" s="109">
        <v>1412.2383</v>
      </c>
      <c r="E170" s="109">
        <v>17.996174</v>
      </c>
      <c r="F170" s="109">
        <v>7.5998254000000003</v>
      </c>
      <c r="G170" s="110">
        <v>178.19381999999999</v>
      </c>
      <c r="H170" s="110">
        <v>28.351901999999999</v>
      </c>
      <c r="I170" s="23"/>
    </row>
    <row r="171" spans="1:9" x14ac:dyDescent="0.2">
      <c r="A171" s="107">
        <v>3.7268518518518499E-2</v>
      </c>
      <c r="B171" s="109">
        <v>16.897406</v>
      </c>
      <c r="C171" s="109">
        <v>3.5111332000000002</v>
      </c>
      <c r="D171" s="109">
        <v>1354.3259</v>
      </c>
      <c r="E171" s="109">
        <v>17.082225999999999</v>
      </c>
      <c r="F171" s="109">
        <v>6.7341743000000003</v>
      </c>
      <c r="G171" s="110">
        <v>177.65601000000001</v>
      </c>
      <c r="H171" s="110">
        <v>28.347003999999998</v>
      </c>
      <c r="I171" s="23"/>
    </row>
    <row r="172" spans="1:9" x14ac:dyDescent="0.2">
      <c r="A172" s="107">
        <v>3.7499999999999999E-2</v>
      </c>
      <c r="B172" s="109">
        <v>16.896124</v>
      </c>
      <c r="C172" s="109">
        <v>3.4929781000000002</v>
      </c>
      <c r="D172" s="109">
        <v>1320.6587</v>
      </c>
      <c r="E172" s="109">
        <v>16.682835000000001</v>
      </c>
      <c r="F172" s="109">
        <v>5.9091439000000001</v>
      </c>
      <c r="G172" s="110">
        <v>177.00301999999999</v>
      </c>
      <c r="H172" s="110">
        <v>28.344996999999999</v>
      </c>
      <c r="I172" s="23"/>
    </row>
    <row r="173" spans="1:9" x14ac:dyDescent="0.2">
      <c r="A173" s="107">
        <v>3.7731481481481498E-2</v>
      </c>
      <c r="B173" s="109">
        <v>16.913166</v>
      </c>
      <c r="C173" s="109">
        <v>3.4943000999999998</v>
      </c>
      <c r="D173" s="109">
        <v>1320.1542999999999</v>
      </c>
      <c r="E173" s="109">
        <v>17.113886000000001</v>
      </c>
      <c r="F173" s="109">
        <v>5.5299000999999999</v>
      </c>
      <c r="G173" s="110">
        <v>176.37</v>
      </c>
      <c r="H173" s="110">
        <v>28.359501000000002</v>
      </c>
      <c r="I173" s="23"/>
    </row>
    <row r="174" spans="1:9" x14ac:dyDescent="0.2">
      <c r="A174" s="107">
        <v>3.7962962962962997E-2</v>
      </c>
      <c r="B174" s="109">
        <v>16.972263000000002</v>
      </c>
      <c r="C174" s="109">
        <v>3.4407000999999999</v>
      </c>
      <c r="D174" s="109">
        <v>1423.9109000000001</v>
      </c>
      <c r="E174" s="109">
        <v>17.549838999999999</v>
      </c>
      <c r="F174" s="109">
        <v>5.8156499999999998</v>
      </c>
      <c r="G174" s="110">
        <v>175.79855000000001</v>
      </c>
      <c r="H174" s="110">
        <v>28.373331</v>
      </c>
      <c r="I174" s="23"/>
    </row>
    <row r="175" spans="1:9" x14ac:dyDescent="0.2">
      <c r="A175" s="107">
        <v>3.8194444444444399E-2</v>
      </c>
      <c r="B175" s="109">
        <v>17.009461999999999</v>
      </c>
      <c r="C175" s="109">
        <v>3.4111153999999999</v>
      </c>
      <c r="D175" s="109">
        <v>1512.5591999999999</v>
      </c>
      <c r="E175" s="109">
        <v>15.624558</v>
      </c>
      <c r="F175" s="109">
        <v>6.0147858000000003</v>
      </c>
      <c r="G175" s="110">
        <v>175.42801</v>
      </c>
      <c r="H175" s="110">
        <v>28.413997999999999</v>
      </c>
      <c r="I175" s="23"/>
    </row>
    <row r="176" spans="1:9" x14ac:dyDescent="0.2">
      <c r="A176" s="107">
        <v>3.8425925925925898E-2</v>
      </c>
      <c r="B176" s="109">
        <v>16.981148000000001</v>
      </c>
      <c r="C176" s="109">
        <v>3.4132601999999999</v>
      </c>
      <c r="D176" s="109">
        <v>1599.7737999999999</v>
      </c>
      <c r="E176" s="109">
        <v>14.665661999999999</v>
      </c>
      <c r="F176" s="109">
        <v>6.0663004000000003</v>
      </c>
      <c r="G176" s="110">
        <v>175.01199</v>
      </c>
      <c r="H176" s="110">
        <v>28.396001999999999</v>
      </c>
      <c r="I176" s="23"/>
    </row>
    <row r="177" spans="1:9" x14ac:dyDescent="0.2">
      <c r="A177" s="107">
        <v>3.8657407407407397E-2</v>
      </c>
      <c r="B177" s="109">
        <v>17.013131999999999</v>
      </c>
      <c r="C177" s="109">
        <v>3.3997052000000001</v>
      </c>
      <c r="D177" s="109">
        <v>1587.4634000000001</v>
      </c>
      <c r="E177" s="109">
        <v>15.932425</v>
      </c>
      <c r="F177" s="109">
        <v>6.4722757</v>
      </c>
      <c r="G177" s="110">
        <v>174.48903999999999</v>
      </c>
      <c r="H177" s="110">
        <v>28.385237</v>
      </c>
      <c r="I177" s="23"/>
    </row>
    <row r="178" spans="1:9" x14ac:dyDescent="0.2">
      <c r="A178" s="107">
        <v>3.8888888888888903E-2</v>
      </c>
      <c r="B178" s="109">
        <v>17.086441000000001</v>
      </c>
      <c r="C178" s="109">
        <v>3.3309712</v>
      </c>
      <c r="D178" s="109">
        <v>1618.1169</v>
      </c>
      <c r="E178" s="109">
        <v>15.732424</v>
      </c>
      <c r="F178" s="109">
        <v>6.7678504000000004</v>
      </c>
      <c r="G178" s="110">
        <v>173.85701</v>
      </c>
      <c r="H178" s="110">
        <v>28.378</v>
      </c>
      <c r="I178" s="23"/>
    </row>
    <row r="179" spans="1:9" x14ac:dyDescent="0.2">
      <c r="A179" s="107">
        <v>3.9120370370370403E-2</v>
      </c>
      <c r="B179" s="109">
        <v>17.162638000000001</v>
      </c>
      <c r="C179" s="109">
        <v>3.2444712999999998</v>
      </c>
      <c r="D179" s="109">
        <v>1691.9115999999999</v>
      </c>
      <c r="E179" s="109">
        <v>14.863536</v>
      </c>
      <c r="F179" s="109">
        <v>7.3069290999999996</v>
      </c>
      <c r="G179" s="110">
        <v>173.10348999999999</v>
      </c>
      <c r="H179" s="110">
        <v>28.376498999999999</v>
      </c>
      <c r="I179" s="23"/>
    </row>
    <row r="180" spans="1:9" x14ac:dyDescent="0.2">
      <c r="A180" s="107">
        <v>3.9351851851851798E-2</v>
      </c>
      <c r="B180" s="109">
        <v>17.189534999999999</v>
      </c>
      <c r="C180" s="109">
        <v>3.2121531999999999</v>
      </c>
      <c r="D180" s="109">
        <v>1775.3626999999999</v>
      </c>
      <c r="E180" s="109">
        <v>14.523811</v>
      </c>
      <c r="F180" s="109">
        <v>7.9709244000000004</v>
      </c>
      <c r="G180" s="110">
        <v>172.18904000000001</v>
      </c>
      <c r="H180" s="110">
        <v>28.36619</v>
      </c>
      <c r="I180" s="23"/>
    </row>
    <row r="181" spans="1:9" x14ac:dyDescent="0.2">
      <c r="A181" s="107">
        <v>3.9583333333333297E-2</v>
      </c>
      <c r="B181" s="109">
        <v>17.268179</v>
      </c>
      <c r="C181" s="109">
        <v>3.1218368999999999</v>
      </c>
      <c r="D181" s="109">
        <v>1889.6586</v>
      </c>
      <c r="E181" s="109">
        <v>14.175563</v>
      </c>
      <c r="F181" s="109">
        <v>8.3915997000000004</v>
      </c>
      <c r="G181" s="110">
        <v>171.43299999999999</v>
      </c>
      <c r="H181" s="110">
        <v>28.347998</v>
      </c>
      <c r="I181" s="23"/>
    </row>
    <row r="182" spans="1:9" x14ac:dyDescent="0.2">
      <c r="A182" s="107">
        <v>3.9814814814814803E-2</v>
      </c>
      <c r="B182" s="109">
        <v>17.282630999999999</v>
      </c>
      <c r="C182" s="109">
        <v>3.1092091000000002</v>
      </c>
      <c r="D182" s="109">
        <v>1904.5372</v>
      </c>
      <c r="E182" s="109">
        <v>13.337344</v>
      </c>
      <c r="F182" s="109">
        <v>9.1434277999999996</v>
      </c>
      <c r="G182" s="110">
        <v>170.86801</v>
      </c>
      <c r="H182" s="110">
        <v>28.337</v>
      </c>
      <c r="I182" s="23"/>
    </row>
    <row r="183" spans="1:9" x14ac:dyDescent="0.2">
      <c r="A183" s="107">
        <v>4.0046296296296302E-2</v>
      </c>
      <c r="B183" s="109">
        <v>17.318408999999999</v>
      </c>
      <c r="C183" s="109">
        <v>3.0728621</v>
      </c>
      <c r="D183" s="109">
        <v>1977.6918000000001</v>
      </c>
      <c r="E183" s="109">
        <v>12.241237</v>
      </c>
      <c r="F183" s="109">
        <v>9.8026505000000004</v>
      </c>
      <c r="G183" s="110">
        <v>170.452</v>
      </c>
      <c r="H183" s="110">
        <v>28.366496999999999</v>
      </c>
      <c r="I183" s="23"/>
    </row>
    <row r="184" spans="1:9" x14ac:dyDescent="0.2">
      <c r="A184" s="107">
        <v>4.0277777777777801E-2</v>
      </c>
      <c r="B184" s="109">
        <v>17.369108000000001</v>
      </c>
      <c r="C184" s="109">
        <v>3.0286143000000001</v>
      </c>
      <c r="D184" s="109">
        <v>2106.3135000000002</v>
      </c>
      <c r="E184" s="109">
        <v>12.6327</v>
      </c>
      <c r="F184" s="109">
        <v>10.9299</v>
      </c>
      <c r="G184" s="110">
        <v>169.97855999999999</v>
      </c>
      <c r="H184" s="110">
        <v>28.346662999999999</v>
      </c>
      <c r="I184" s="23"/>
    </row>
    <row r="185" spans="1:9" x14ac:dyDescent="0.2">
      <c r="A185" s="107">
        <v>4.05092592592593E-2</v>
      </c>
      <c r="B185" s="109">
        <v>17.361415999999998</v>
      </c>
      <c r="C185" s="109">
        <v>3.0092932999999999</v>
      </c>
      <c r="D185" s="109">
        <v>2164.7190000000001</v>
      </c>
      <c r="E185" s="109">
        <v>13.215989</v>
      </c>
      <c r="F185" s="109">
        <v>11.173215000000001</v>
      </c>
      <c r="G185" s="110">
        <v>169.4025</v>
      </c>
      <c r="H185" s="110">
        <v>28.336501999999999</v>
      </c>
      <c r="I185" s="23"/>
    </row>
    <row r="186" spans="1:9" x14ac:dyDescent="0.2">
      <c r="A186" s="107">
        <v>4.0740740740740702E-2</v>
      </c>
      <c r="B186" s="109">
        <v>17.367989000000001</v>
      </c>
      <c r="C186" s="109">
        <v>3.0184443000000001</v>
      </c>
      <c r="D186" s="109">
        <v>2148.2476000000001</v>
      </c>
      <c r="E186" s="109">
        <v>12.6945</v>
      </c>
      <c r="F186" s="109">
        <v>12.677251</v>
      </c>
      <c r="G186" s="110">
        <v>168.73401000000001</v>
      </c>
      <c r="H186" s="110">
        <v>28.326498000000001</v>
      </c>
      <c r="I186" s="23"/>
    </row>
    <row r="187" spans="1:9" x14ac:dyDescent="0.2">
      <c r="A187" s="107">
        <v>4.0972222222222202E-2</v>
      </c>
      <c r="B187" s="109">
        <v>17.402000000000001</v>
      </c>
      <c r="C187" s="109">
        <v>2.9829061000000001</v>
      </c>
      <c r="D187" s="109">
        <v>2172.5601000000001</v>
      </c>
      <c r="E187" s="109">
        <v>13.046638</v>
      </c>
      <c r="F187" s="109">
        <v>12.531075</v>
      </c>
      <c r="G187" s="110">
        <v>168.01382000000001</v>
      </c>
      <c r="H187" s="110">
        <v>28.290482000000001</v>
      </c>
      <c r="I187" s="23"/>
    </row>
    <row r="188" spans="1:9" x14ac:dyDescent="0.2">
      <c r="A188" s="107">
        <v>4.1203703703703701E-2</v>
      </c>
      <c r="B188" s="109">
        <v>17.400977999999999</v>
      </c>
      <c r="C188" s="109">
        <v>2.9783732999999999</v>
      </c>
      <c r="D188" s="109">
        <v>2188.3789000000002</v>
      </c>
      <c r="E188" s="109">
        <v>12.855238</v>
      </c>
      <c r="F188" s="109">
        <v>12.118277000000001</v>
      </c>
      <c r="G188" s="110">
        <v>167.41</v>
      </c>
      <c r="H188" s="110">
        <v>28.283000999999999</v>
      </c>
      <c r="I188" s="23"/>
    </row>
  </sheetData>
  <protectedRanges>
    <protectedRange password="DC8B" sqref="B1:B2 C1 G3 N20:N21 K43:K45 K47 U44 K5 O44:O45 A10:A1048576 B4" name="Bereich1"/>
    <protectedRange password="DC8B" sqref="B3" name="Bereich1_2"/>
  </protectedRanges>
  <scenarios current="0" show="0">
    <scenario name="Messturm MT1 Auswahl" locked="1" count="1" user="Johannes Mantler - Kachelofenverband.at" comment="Erstellt von Johannes Mantler - Kachelofenverband.at am 26.01.2016_x000a_Modifiziert von Johannes Mantler - Kachelofenverband.at am 26.01.2016">
      <inputCells r="B4" val="MT1"/>
    </scenario>
    <scenario name="Messturm MT2 Auswahl" locked="1" count="1" user="Johannes Mantler - Kachelofenverband.at" comment="Erstellt von Johannes Mantler - Kachelofenverband.at am 26.01.2016">
      <inputCells r="B4" val="MT2"/>
    </scenario>
  </scenarios>
  <dataConsolidate/>
  <mergeCells count="21">
    <mergeCell ref="D3:F3"/>
    <mergeCell ref="M19:N19"/>
    <mergeCell ref="Q43:R43"/>
    <mergeCell ref="Q44:R44"/>
    <mergeCell ref="R46:T46"/>
    <mergeCell ref="J97:L97"/>
    <mergeCell ref="N97:P97"/>
    <mergeCell ref="J68:M68"/>
    <mergeCell ref="N68:Q68"/>
    <mergeCell ref="T19:V19"/>
    <mergeCell ref="S31:T31"/>
    <mergeCell ref="J19:K19"/>
    <mergeCell ref="U46:V46"/>
    <mergeCell ref="R47:T47"/>
    <mergeCell ref="Q62:R62"/>
    <mergeCell ref="S62:T62"/>
    <mergeCell ref="J55:M55"/>
    <mergeCell ref="J54:L54"/>
    <mergeCell ref="M54:N54"/>
    <mergeCell ref="P54:R54"/>
    <mergeCell ref="S54:T54"/>
  </mergeCells>
  <phoneticPr fontId="9" type="noConversion"/>
  <conditionalFormatting sqref="J55:M55">
    <cfRule type="containsText" dxfId="8" priority="1" operator="containsText" text="Wassergehaltsbestimmung - DIN 51718 wiederholen">
      <formula>NOT(ISERROR(SEARCH("Wassergehaltsbestimmung - DIN 51718 wiederholen",J55)))</formula>
    </cfRule>
  </conditionalFormatting>
  <conditionalFormatting sqref="U20:U22">
    <cfRule type="cellIs" dxfId="5" priority="4" stopIfTrue="1" operator="lessThan">
      <formula>T20</formula>
    </cfRule>
    <cfRule type="cellIs" dxfId="4" priority="5" stopIfTrue="1" operator="greaterThan">
      <formula>T20</formula>
    </cfRule>
  </conditionalFormatting>
  <conditionalFormatting sqref="U23">
    <cfRule type="cellIs" dxfId="3" priority="6" stopIfTrue="1" operator="greaterThan">
      <formula>T23</formula>
    </cfRule>
    <cfRule type="cellIs" dxfId="2" priority="7" stopIfTrue="1" operator="lessThan">
      <formula>T23</formula>
    </cfRule>
  </conditionalFormatting>
  <conditionalFormatting sqref="V20:V23">
    <cfRule type="cellIs" dxfId="1" priority="8" stopIfTrue="1" operator="equal">
      <formula>"nicht erfüllt"</formula>
    </cfRule>
    <cfRule type="cellIs" dxfId="0" priority="9" stopIfTrue="1" operator="equal">
      <formula>"erfüllt"</formula>
    </cfRule>
  </conditionalFormatting>
  <dataValidations count="3">
    <dataValidation type="list" allowBlank="1" showInputMessage="1" showErrorMessage="1" error="Auswahl: &quot;Messturm 1&quot; oder &quot;Messturm 2&quot; möglich" sqref="B4" xr:uid="{00000000-0002-0000-0000-000000000000}">
      <formula1>$Y$27:$Y$28</formula1>
    </dataValidation>
    <dataValidation type="list" allowBlank="1" showInputMessage="1" sqref="G4" xr:uid="{00000000-0002-0000-0000-000001000000}">
      <formula1>$Y$13:$Y$19</formula1>
    </dataValidation>
    <dataValidation type="list" allowBlank="1" showInputMessage="1" showErrorMessage="1" sqref="K5" xr:uid="{00000000-0002-0000-0000-000002000000}">
      <formula1>$Y$7:$Y$9</formula1>
    </dataValidation>
  </dataValidations>
  <pageMargins left="0.78740157499999996" right="0.78740157499999996" top="0.984251969" bottom="0.984251969" header="0.4921259845" footer="0.4921259845"/>
  <pageSetup paperSize="9" scale="10" orientation="landscape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293C66EC-7359-4BF4-B468-FFDB1B3CFCDD}">
            <xm:f>NOT(ISERROR(SEARCH("Nicht notwendig",M54)))</xm:f>
            <xm:f>"Nicht notwendig"</xm:f>
            <x14:dxf>
              <fill>
                <patternFill>
                  <bgColor theme="9" tint="0.39994506668294322"/>
                </patternFill>
              </fill>
            </x14:dxf>
          </x14:cfRule>
          <xm:sqref>M54</xm:sqref>
        </x14:conditionalFormatting>
        <x14:conditionalFormatting xmlns:xm="http://schemas.microsoft.com/office/excel/2006/main">
          <x14:cfRule type="containsText" priority="2" operator="containsText" id="{EBCAB36A-8407-4FBD-94AD-FB4D744338C7}">
            <xm:f>NOT(ISERROR(SEARCH("Nicht notwendig",S54)))</xm:f>
            <xm:f>"Nicht notwendig"</xm:f>
            <x14:dxf>
              <fill>
                <patternFill>
                  <bgColor theme="9" tint="0.39994506668294322"/>
                </patternFill>
              </fill>
            </x14:dxf>
          </x14:cfRule>
          <xm:sqref>S54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2</vt:i4>
      </vt:variant>
    </vt:vector>
  </HeadingPairs>
  <TitlesOfParts>
    <vt:vector size="3" baseType="lpstr">
      <vt:lpstr>Auswertung</vt:lpstr>
      <vt:lpstr>Emissionen_Datenbereich</vt:lpstr>
      <vt:lpstr>Diagr_Temp.</vt:lpstr>
    </vt:vector>
  </TitlesOfParts>
  <Company>OEKV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Mantler - Kachelofenverband.at</dc:creator>
  <cp:lastModifiedBy>Josip Zekic - Kachelofenverband.at</cp:lastModifiedBy>
  <cp:lastPrinted>2011-06-06T07:26:56Z</cp:lastPrinted>
  <dcterms:created xsi:type="dcterms:W3CDTF">2005-08-26T08:19:12Z</dcterms:created>
  <dcterms:modified xsi:type="dcterms:W3CDTF">2023-04-18T11:48:38Z</dcterms:modified>
</cp:coreProperties>
</file>